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35" yWindow="0" windowWidth="14580" windowHeight="12900" tabRatio="947" activeTab="0"/>
  </bookViews>
  <sheets>
    <sheet name="Step1-Country data" sheetId="1" r:id="rId1"/>
    <sheet name="Step2-Energy" sheetId="2" r:id="rId2"/>
    <sheet name="5-1 Fuels" sheetId="3" state="hidden" r:id="rId3"/>
    <sheet name="Step3-Metals-RawMat" sheetId="4" r:id="rId4"/>
    <sheet name="5-2 Prim metal" sheetId="5" state="hidden" r:id="rId5"/>
    <sheet name="5-3 Other min + mat" sheetId="6" state="hidden" r:id="rId6"/>
    <sheet name="Step4-Industrial Hg use" sheetId="7" r:id="rId7"/>
    <sheet name="5-4 Int Hg in Industry" sheetId="8" state="hidden" r:id="rId8"/>
    <sheet name="Step5-Waste treatment+recycling" sheetId="9" r:id="rId9"/>
    <sheet name="Step6-Hg products-substances" sheetId="10" r:id="rId10"/>
    <sheet name="5-6 Other int use" sheetId="11" state="hidden" r:id="rId11"/>
    <sheet name="Countrydata" sheetId="12" state="hidden" r:id="rId12"/>
    <sheet name="Step7-Crematoria-cemetaries" sheetId="13" r:id="rId13"/>
    <sheet name="Step8-Miscellannous Hg sources" sheetId="14" r:id="rId14"/>
    <sheet name="Range-thresholds" sheetId="15" state="hidden" r:id="rId15"/>
    <sheet name="Unit conversion" sheetId="16" r:id="rId16"/>
    <sheet name="Level 1-ExecSummary" sheetId="17" r:id="rId17"/>
    <sheet name="Level 1-Charts" sheetId="18" r:id="rId18"/>
    <sheet name="Level 1- Hg sources identified" sheetId="19" r:id="rId19"/>
    <sheet name="Level 1-summary of Hg inputs" sheetId="20" r:id="rId20"/>
    <sheet name="Level 1-summary of releases" sheetId="21" r:id="rId21"/>
    <sheet name="Level 1- total summary" sheetId="22" r:id="rId22"/>
    <sheet name="Level 2-introduction" sheetId="23" state="hidden" r:id="rId23"/>
    <sheet name="Level 2-summary" sheetId="24" state="hidden" r:id="rId24"/>
    <sheet name="5-5 Cons prod" sheetId="25" state="hidden" r:id="rId25"/>
    <sheet name="Insert IL2 results" sheetId="26" r:id="rId26"/>
    <sheet name="Translation note" sheetId="27" r:id="rId27"/>
    <sheet name="5-7 Recycl metals" sheetId="28" state="hidden" r:id="rId28"/>
    <sheet name="5-8 Waste incin" sheetId="29" state="hidden" r:id="rId29"/>
    <sheet name="5-9 Waste depo and water treatm" sheetId="30" state="hidden" r:id="rId30"/>
    <sheet name="5-10 Cremat and cem" sheetId="31" state="hidden" r:id="rId31"/>
    <sheet name="Sheet2" sheetId="32" r:id="rId32"/>
  </sheets>
  <definedNames>
    <definedName name="_Ref49683512" localSheetId="27">'5-7 Recycl metals'!$C$6</definedName>
    <definedName name="_Ref49683522" localSheetId="27">'5-7 Recycl metals'!$C$8</definedName>
    <definedName name="_Ref49683534" localSheetId="27">'5-7 Recycl metals'!$C$10</definedName>
    <definedName name="_Ref50871338" localSheetId="29">'5-9 Waste depo and water treatm'!$C$11</definedName>
    <definedName name="_Ref50871349" localSheetId="29">'5-9 Waste depo and water treatm'!$C$13</definedName>
    <definedName name="_Ref52957575" localSheetId="10">'5-6 Other int use'!$C$53</definedName>
    <definedName name="Country">'Countrydata'!$A$8:$A$206</definedName>
    <definedName name="no">'Translation note'!$B$5</definedName>
    <definedName name="pres">'Translation note'!$B$3</definedName>
    <definedName name="_xlnm.Print_Area" localSheetId="25">'Insert IL2 results'!$A$9:$B$78</definedName>
    <definedName name="_xlnm.Print_Area" localSheetId="18">'Level 1- Hg sources identified'!$A$2:$B$71</definedName>
    <definedName name="_xlnm.Print_Area" localSheetId="21">'Level 1- total summary'!$A$2:$D$72</definedName>
    <definedName name="_xlnm.Print_Area" localSheetId="17">'Level 1-Charts'!$A$6:$A$25</definedName>
    <definedName name="_xlnm.Print_Area" localSheetId="16">'Level 1-ExecSummary'!$A$1:$J$33</definedName>
    <definedName name="_xlnm.Print_Area" localSheetId="19">'Level 1-summary of Hg inputs'!$A$2:$D$72</definedName>
    <definedName name="_xlnm.Print_Area" localSheetId="20">'Level 1-summary of releases'!$A$1:$G$74</definedName>
    <definedName name="_xlnm.Print_Area" localSheetId="23">'Level 2-summary'!$A$11:$E$71</definedName>
    <definedName name="_xlnm.Print_Area" localSheetId="0">'Step1-Country data'!$A$3:$B$20</definedName>
    <definedName name="_xlnm.Print_Area" localSheetId="1">'Step2-Energy'!$A$1:$L$17</definedName>
    <definedName name="_xlnm.Print_Area" localSheetId="3">'Step3-Metals-RawMat'!$A$1:$L$17</definedName>
    <definedName name="_xlnm.Print_Area" localSheetId="6">'Step4-Industrial Hg use'!$A$1:$L$18</definedName>
    <definedName name="_xlnm.Print_Area" localSheetId="8">'Step5-Waste treatment+recycling'!$A$1:$L$23</definedName>
    <definedName name="_xlnm.Print_Area" localSheetId="9">'Step6-Hg products-substances'!$A$1:$L$47</definedName>
    <definedName name="_xlnm.Print_Area" localSheetId="12">'Step7-Crematoria-cemetaries'!$A$1:$L$6</definedName>
    <definedName name="_xlnm.Print_Area" localSheetId="13">'Step8-Miscellannous Hg sources'!$A$1:$B$30</definedName>
    <definedName name="que">'Translation note'!$B$6</definedName>
    <definedName name="quest">'Translation note'!$B$7</definedName>
    <definedName name="quest2">'Translation note'!$B$8</definedName>
    <definedName name="SeF4">'Translation note'!$B$13</definedName>
    <definedName name="trans1">'Translation note'!$B$10</definedName>
    <definedName name="trans2">'Translation note'!$B$11</definedName>
    <definedName name="trans3">'Translation note'!$B$12</definedName>
    <definedName name="yes">'Translation note'!$B$4</definedName>
    <definedName name="yn?">'Translation note'!$B$4:$B$6</definedName>
  </definedNames>
  <calcPr fullCalcOnLoad="1"/>
</workbook>
</file>

<file path=xl/comments15.xml><?xml version="1.0" encoding="utf-8"?>
<comments xmlns="http://schemas.openxmlformats.org/spreadsheetml/2006/main">
  <authors>
    <author>Jakob Maag</author>
  </authors>
  <commentList>
    <comment ref="C4" authorId="0">
      <text>
        <r>
          <rPr>
            <b/>
            <sz val="8"/>
            <rFont val="Tahoma"/>
            <family val="2"/>
          </rPr>
          <t>Jakob Maag:</t>
        </r>
        <r>
          <rPr>
            <sz val="8"/>
            <rFont val="Tahoma"/>
            <family val="2"/>
          </rPr>
          <t xml:space="preserve">
In cases where experience data do not reflect expected maximum vaues</t>
        </r>
      </text>
    </comment>
    <comment ref="C3" authorId="0">
      <text>
        <r>
          <rPr>
            <b/>
            <sz val="8"/>
            <rFont val="Tahoma"/>
            <family val="2"/>
          </rPr>
          <t>Jakob Maag:</t>
        </r>
        <r>
          <rPr>
            <sz val="8"/>
            <rFont val="Tahoma"/>
            <family val="2"/>
          </rPr>
          <t xml:space="preserve">
If factor adjustments are needed, adjust this one first.</t>
        </r>
      </text>
    </comment>
  </commentList>
</comments>
</file>

<file path=xl/comments3.xml><?xml version="1.0" encoding="utf-8"?>
<comments xmlns="http://schemas.openxmlformats.org/spreadsheetml/2006/main">
  <authors>
    <author>Jakob Maag</author>
  </authors>
  <commentList>
    <comment ref="C24" authorId="0">
      <text>
        <r>
          <rPr>
            <b/>
            <sz val="8"/>
            <rFont val="Tahoma"/>
            <family val="2"/>
          </rPr>
          <t>Jakob Maag:</t>
        </r>
        <r>
          <rPr>
            <sz val="8"/>
            <rFont val="Tahoma"/>
            <family val="2"/>
          </rPr>
          <t xml:space="preserve">
Input factors for crude oil changed  + waste output moved to  sectors spec. waste;  changed Jan 2013</t>
        </r>
      </text>
    </comment>
    <comment ref="C37" authorId="0">
      <text>
        <r>
          <rPr>
            <b/>
            <sz val="8"/>
            <rFont val="Tahoma"/>
            <family val="2"/>
          </rPr>
          <t>Jakob Maag:</t>
        </r>
        <r>
          <rPr>
            <sz val="8"/>
            <rFont val="Tahoma"/>
            <family val="2"/>
          </rPr>
          <t xml:space="preserve">
output shifted from general waste to sector specific waste - changed Jan 2013</t>
        </r>
      </text>
    </comment>
    <comment ref="C5" authorId="0">
      <text>
        <r>
          <rPr>
            <b/>
            <sz val="8"/>
            <rFont val="Tahoma"/>
            <family val="2"/>
          </rPr>
          <t>Jakob Maag:</t>
        </r>
        <r>
          <rPr>
            <sz val="8"/>
            <rFont val="Tahoma"/>
            <family val="2"/>
          </rPr>
          <t xml:space="preserve">
Changed Jan 2013</t>
        </r>
      </text>
    </comment>
    <comment ref="C14" authorId="0">
      <text>
        <r>
          <rPr>
            <b/>
            <sz val="8"/>
            <rFont val="Tahoma"/>
            <family val="2"/>
          </rPr>
          <t>Jakob Maag:</t>
        </r>
        <r>
          <rPr>
            <sz val="8"/>
            <rFont val="Tahoma"/>
            <family val="2"/>
          </rPr>
          <t xml:space="preserve">
Changed Jan 2013</t>
        </r>
      </text>
    </comment>
  </commentList>
</comments>
</file>

<file path=xl/comments5.xml><?xml version="1.0" encoding="utf-8"?>
<comments xmlns="http://schemas.openxmlformats.org/spreadsheetml/2006/main">
  <authors>
    <author>Jakob Maag</author>
  </authors>
  <commentList>
    <comment ref="C13" authorId="0">
      <text>
        <r>
          <rPr>
            <b/>
            <sz val="8"/>
            <rFont val="Tahoma"/>
            <family val="2"/>
          </rPr>
          <t>Jakob Maag:</t>
        </r>
        <r>
          <rPr>
            <sz val="8"/>
            <rFont val="Tahoma"/>
            <family val="2"/>
          </rPr>
          <t xml:space="preserve">
Input and output changed jan 2013</t>
        </r>
      </text>
    </comment>
    <comment ref="C17" authorId="0">
      <text>
        <r>
          <rPr>
            <b/>
            <sz val="8"/>
            <rFont val="Tahoma"/>
            <family val="2"/>
          </rPr>
          <t>Jakob Maag:</t>
        </r>
        <r>
          <rPr>
            <sz val="8"/>
            <rFont val="Tahoma"/>
            <family val="2"/>
          </rPr>
          <t xml:space="preserve">
Input and output changed jan 2013</t>
        </r>
      </text>
    </comment>
    <comment ref="C21" authorId="0">
      <text>
        <r>
          <rPr>
            <b/>
            <sz val="8"/>
            <rFont val="Tahoma"/>
            <family val="2"/>
          </rPr>
          <t>Jakob Maag:</t>
        </r>
        <r>
          <rPr>
            <sz val="8"/>
            <rFont val="Tahoma"/>
            <family val="2"/>
          </rPr>
          <t xml:space="preserve">
Input and output changed jan 2013</t>
        </r>
      </text>
    </comment>
    <comment ref="F25" authorId="0">
      <text>
        <r>
          <rPr>
            <b/>
            <sz val="8"/>
            <rFont val="Tahoma"/>
            <family val="2"/>
          </rPr>
          <t>Jakob Maag:</t>
        </r>
        <r>
          <rPr>
            <sz val="8"/>
            <rFont val="Tahoma"/>
            <family val="2"/>
          </rPr>
          <t xml:space="preserve">
changed jan 2013</t>
        </r>
      </text>
    </comment>
    <comment ref="C8" authorId="0">
      <text>
        <r>
          <rPr>
            <b/>
            <sz val="8"/>
            <rFont val="Tahoma"/>
            <family val="2"/>
          </rPr>
          <t>Jakob Maag:</t>
        </r>
        <r>
          <rPr>
            <sz val="8"/>
            <rFont val="Tahoma"/>
            <family val="2"/>
          </rPr>
          <t xml:space="preserve">
changed jan 2013</t>
        </r>
      </text>
    </comment>
  </commentList>
</comments>
</file>

<file path=xl/comments6.xml><?xml version="1.0" encoding="utf-8"?>
<comments xmlns="http://schemas.openxmlformats.org/spreadsheetml/2006/main">
  <authors>
    <author>Jakob Maag</author>
  </authors>
  <commentList>
    <comment ref="M8" authorId="0">
      <text>
        <r>
          <rPr>
            <b/>
            <sz val="8"/>
            <rFont val="Tahoma"/>
            <family val="2"/>
          </rPr>
          <t>Jakob Maag:</t>
        </r>
        <r>
          <rPr>
            <sz val="8"/>
            <rFont val="Tahoma"/>
            <family val="2"/>
          </rPr>
          <t xml:space="preserve">
Note that this is a special solution used in IL1, which differs from IL2 scenario outline for cement, but based on January 2013 updates of  output factors for sector</t>
        </r>
      </text>
    </comment>
    <comment ref="C6" authorId="0">
      <text>
        <r>
          <rPr>
            <b/>
            <sz val="8"/>
            <rFont val="Tahoma"/>
            <family val="2"/>
          </rPr>
          <t>Jakob Maag:</t>
        </r>
        <r>
          <rPr>
            <sz val="8"/>
            <rFont val="Tahoma"/>
            <family val="2"/>
          </rPr>
          <t xml:space="preserve">
Changed Jan. 2013</t>
        </r>
      </text>
    </comment>
  </commentList>
</comments>
</file>

<file path=xl/comments8.xml><?xml version="1.0" encoding="utf-8"?>
<comments xmlns="http://schemas.openxmlformats.org/spreadsheetml/2006/main">
  <authors>
    <author>Jakob Maag</author>
  </authors>
  <commentList>
    <comment ref="G7" authorId="0">
      <text>
        <r>
          <rPr>
            <b/>
            <sz val="8"/>
            <rFont val="Tahoma"/>
            <family val="2"/>
          </rPr>
          <t>Jakob Maag:</t>
        </r>
        <r>
          <rPr>
            <sz val="8"/>
            <rFont val="Tahoma"/>
            <family val="2"/>
          </rPr>
          <t xml:space="preserve">
changed Jan 2013</t>
        </r>
      </text>
    </comment>
  </commentList>
</comments>
</file>

<file path=xl/sharedStrings.xml><?xml version="1.0" encoding="utf-8"?>
<sst xmlns="http://schemas.openxmlformats.org/spreadsheetml/2006/main" count="2658" uniqueCount="1040">
  <si>
    <t>Guide to the column headers and the entry of data:</t>
  </si>
  <si>
    <t>Other important information:</t>
  </si>
  <si>
    <t>For some source sectors, e.g. coal combustion, the total calculated mercury input must be distributed between the relevant scenarios in accordance with information obtained in your data collection. For example for coal combustion, half of the annual coal supply may be used in facilities with no emission reduction devices, while the other half is used in facilities with fabric filters. In this example, 50% of your mercury input must entered in the "no devises" row in this column, while the other 50% must be entered in the "fabric filters" row. For other sources, e.g. batteries, you can choose the scenario you find most appropriate for the country covered in your inventory - and enter the total calculated mercury input in that row, or you can distribute the total input between the scenarios, for example if different scenarios are relevant in different parts of the country investigated.</t>
  </si>
  <si>
    <r>
      <t>Read the Toolkit report sections carefully before using this spreadsheet!</t>
    </r>
    <r>
      <rPr>
        <sz val="10"/>
        <rFont val="Arial"/>
        <family val="0"/>
      </rPr>
      <t>: This spreadsheet is not self-explaining and there is a clear risk of making serious mistakes, if the proposed principles and data are not read and understood carefully. Make yourself acquainted with the methodology used for mercury inventories in the Toolkit report. Before working with an individual source sub-category in this spreadsheet, read the Toolkit report's section describing the source.</t>
    </r>
  </si>
  <si>
    <r>
      <t>Spreadsheet names</t>
    </r>
    <r>
      <rPr>
        <sz val="10"/>
        <rFont val="Arial"/>
        <family val="0"/>
      </rPr>
      <t>: The numbers in the individual sheets' names refer to the chapter number of the source category dealt with in the individual sheet.</t>
    </r>
  </si>
  <si>
    <r>
      <t>Metric units</t>
    </r>
    <r>
      <rPr>
        <sz val="10"/>
        <rFont val="Arial"/>
        <family val="0"/>
      </rPr>
      <t>: All units used in this spreadsheet are - and must be - metric units, in accordance with the Toolkit report. The notation "t", means metric tons (also called "tonnes" in UK terminology).</t>
    </r>
  </si>
  <si>
    <r>
      <t>"C"</t>
    </r>
    <r>
      <rPr>
        <sz val="10"/>
        <rFont val="Arial"/>
        <family val="0"/>
      </rPr>
      <t>: The column shows the section number in the Toolkit report describing this source category.</t>
    </r>
  </si>
  <si>
    <r>
      <t>"Su-C"</t>
    </r>
    <r>
      <rPr>
        <sz val="10"/>
        <rFont val="Arial"/>
        <family val="0"/>
      </rPr>
      <t>: The column shows the section number in the Toolkit report describing this source sub-category.</t>
    </r>
  </si>
  <si>
    <r>
      <t>"Source category /phase"</t>
    </r>
    <r>
      <rPr>
        <sz val="10"/>
        <rFont val="Arial"/>
        <family val="2"/>
      </rPr>
      <t>: This column displays the name of the source category, source sub-category or life cycle phase dealt with in this line and in any lines below until the line with the next name in the column.</t>
    </r>
  </si>
  <si>
    <r>
      <t>"Exists? (y/n/?)"</t>
    </r>
    <r>
      <rPr>
        <sz val="10"/>
        <rFont val="Arial"/>
        <family val="2"/>
      </rPr>
      <t>: Enter "yes" if it is confirmed that this source is present in the area covered by the inventory. Enter "no" if it is confirmed that this source is NOT present in the area. Enter "?", if it is not known if the source is present or not in the area covered by the inventory.</t>
    </r>
  </si>
  <si>
    <r>
      <t>Non-existing source categories:</t>
    </r>
    <r>
      <rPr>
        <sz val="10"/>
        <rFont val="Arial"/>
        <family val="0"/>
      </rPr>
      <t xml:space="preserve"> If you have positively verified that the source in question does not exist in the country, enter the number "0" as the activity rate and as the Hg input in order to display the correct output numbers, namely "0".</t>
    </r>
  </si>
  <si>
    <r>
      <t>"Default input factor""</t>
    </r>
    <r>
      <rPr>
        <sz val="10"/>
        <rFont val="Arial"/>
        <family val="2"/>
      </rPr>
      <t>: These columns inform you of the default input factors defined in the Toolkit report, and their units. The appropriate unit is noted in the next column to the right.</t>
    </r>
  </si>
  <si>
    <r>
      <t>"Enter input factor"</t>
    </r>
    <r>
      <rPr>
        <sz val="10"/>
        <rFont val="Arial"/>
        <family val="0"/>
      </rPr>
      <t>: Here you enter your choice of input factor for the source in question. For source sub categories where default factors are defined in the Toolkit report, the MAXIMUM default input factor is already entered in the appropriate cell. Remember that well documented national or local input factors should always be preferred, if available. Provide documentation for the used factors in the inventory report. The appropriate unit is noted in the next column to the right.</t>
    </r>
  </si>
  <si>
    <r>
      <t>"Enter activity rate"</t>
    </r>
    <r>
      <rPr>
        <sz val="10"/>
        <rFont val="Arial"/>
        <family val="0"/>
      </rPr>
      <t>: Here you enter the activity rate for the source category in question. See in the corresponding section of the Toolkit report, which type of activity rate you must use. Find appropriate activity rate data according to the principles and advice given in section 4.4 ("Data gathering and quantification of mercury releases") in the Toolkit report.</t>
    </r>
  </si>
  <si>
    <r>
      <t>"Calculat. Hg input"</t>
    </r>
    <r>
      <rPr>
        <sz val="10"/>
        <rFont val="Arial"/>
        <family val="0"/>
      </rPr>
      <t>: This column displays the calculated mercury input to the source in question. For source sub categories where default factors are defined in the Toolkit report, the appropriate calculation formula is already entered in the cell. For sources where this is not the case, you must enter appropriate calculation formulas according to the Toolkit principles; often you can copy - or be inspired by - calculation formulas given for other sources in the same column. BE VERY CAREFUL THAT THE UNIT AND ORDER OF MAGNITUDE ARE CORRECT - this is one of the error types most often made in such calculations. For source sub-categories that have several contributions to the overall releases from the sub-category, e.g. several life cycle phase, the sum of input contributions is displayed in bold red writing.</t>
    </r>
  </si>
  <si>
    <r>
      <t>"Output scenarios, where relevant"</t>
    </r>
    <r>
      <rPr>
        <sz val="10"/>
        <rFont val="Arial"/>
        <family val="0"/>
      </rPr>
      <t>: For some source sub-categories, several output scenarios are defined in the Toolkit report according to the characteristics of the source. For such sources, the description of the scenario is given in this column, and corresponding output distribution factors are entered - or can be entered - in the columns to the right of this column. For sources where there is only one output scenario, this column is empty.</t>
    </r>
  </si>
  <si>
    <r>
      <t>"Enter Hg input"</t>
    </r>
    <r>
      <rPr>
        <sz val="10"/>
        <rFont val="Arial"/>
        <family val="0"/>
      </rPr>
      <t>: In this column, the mercury INPUT to this source category, or phase, or scenario must be entered. In simple cases, the number to be entered here is the number calculated in the column "Calculat. Hg input"; for these a simple reference (e.g. "= k34") can be made or the number can be entered manually. For sources with several output scenarios you must investigate which scenario(s) is/are relevant and enter the mercury input lead to that scenario.</t>
    </r>
  </si>
  <si>
    <r>
      <t>"Enter output distribution factors"</t>
    </r>
    <r>
      <rPr>
        <sz val="10"/>
        <rFont val="Arial"/>
        <family val="0"/>
      </rPr>
      <t>: Here you enter your choice of output distribution factors. Important: In most cases the sum of all output distributions factors for a source must be 1 (exceptions: see notes in this spreadsheet and corresponding sections in the Toolkit report). For source sub categories where default factors are defined in the Toolkit report, the default factors are already entered in the appropriate cells; note that question marks in the report are substituted here by "0" to facilitate the use of the spreadsheet for quick initial screenings. Remember that well documented national or local distribution factors should always be preferred, if available. Provide documentation for the used factors in the inventory report. NB: For a few sources, other methodology is used to estimate releases; this is described in notes in each relevant sheet.</t>
    </r>
  </si>
  <si>
    <r>
      <t>"Calculated Hg output, Kg/y</t>
    </r>
    <r>
      <rPr>
        <sz val="10"/>
        <rFont val="Arial"/>
        <family val="2"/>
      </rPr>
      <t>": These columns display the calculated mercury releases distributed on the output pathways considered. Each cell in these columns contain a formula calculating the release estimate based on the mercury inputs to the source or phase or output scenario in question and the output distribution factor for this pathway. In very few cases, the release estimates are calculated with other principles - see specific notes in the sheets in question.</t>
    </r>
  </si>
  <si>
    <r>
      <t>"Remarks"</t>
    </r>
    <r>
      <rPr>
        <sz val="10"/>
        <rFont val="Arial"/>
        <family val="0"/>
      </rPr>
      <t>: Here you enter a few words on information on the specific fate of mercury released to "Sector specific treatment/disposal", and you enter important key information on a summary level. Give reference to where in the inventory report the information is described in more detail.</t>
    </r>
  </si>
  <si>
    <r>
      <t>"#Value!"</t>
    </r>
    <r>
      <rPr>
        <sz val="10"/>
        <rFont val="Arial"/>
        <family val="0"/>
      </rPr>
      <t>: This term appear in calculation results, if "?", "-" or similar text signs are written in input cells. If data are available, enter these instead of the "?" in the input cells. If data are not available, the sign (?,- or other) may often be the appropriate thing to show in the results cell. To present the same sign (?,- or other), enter the appropriate sign manually in the calculation cell.</t>
    </r>
  </si>
  <si>
    <r>
      <t>User defined alterations of the spreadsheet principles</t>
    </r>
    <r>
      <rPr>
        <sz val="10"/>
        <rFont val="Arial"/>
        <family val="0"/>
      </rPr>
      <t>: This spreadsheet is designed for mercury release quantification according to the general methodology and specific principles for each source sub-category recommended in the Toolkit report. For many source sub-categories other specific approaches may be usable (e.g. other activity rate types). This spreadsheet may be adjusted accordingly by the users as desired, requiring that the applied principles are in line with the overall approach of the Toolkit, and are well documented in the inventory reporting and that full reference is given to this Toolkit spreadsheet.</t>
    </r>
  </si>
  <si>
    <r>
      <t>Enter calculation formulas</t>
    </r>
    <r>
      <rPr>
        <sz val="10"/>
        <rFont val="Arial"/>
        <family val="0"/>
      </rPr>
      <t>: In this spreadsheet, default calculation formulas were only entered for source sub-categories, for which defaults were defined in the Toolkit report. Depending in the data available, inputs and releases may however be possible to estimate for many more sources. In such cases, the user should enter appropriate formulas and data for the calculations. In many cases this can be done by copying appropriate formulas from other cells in this spreadsheet - be careful to be accurate.</t>
    </r>
  </si>
  <si>
    <r>
      <t>Sub-calculations</t>
    </r>
    <r>
      <rPr>
        <sz val="10"/>
        <rFont val="Arial"/>
        <family val="0"/>
      </rPr>
      <t>: In many cases sub-calculations will be needed, e.g. for calculations/conversions of the activity rates, or alternative input factors or alternative output distribution factors. Such calculations must be made in other spreadsheets, for instance in new sheets inserted in this same Tollkit spreadsheet file; remember to report clear and transparent documentation of all data and calculations used - read more about this in the Toolkit report.</t>
    </r>
  </si>
  <si>
    <r>
      <t>Decimal point/comma:</t>
    </r>
    <r>
      <rPr>
        <sz val="10"/>
        <rFont val="Arial"/>
        <family val="0"/>
      </rPr>
      <t xml:space="preserve"> In order to display decimal comma or decimal point according to your preference, make sure your MS Windows systems language is set accordingly. Note however that numbers displayed here as  text (default factor intervals) will display with decimal point, in accordance with the Toolkit report format, regardless of language settings chosen.</t>
    </r>
  </si>
  <si>
    <r>
      <t>Sum of quantified releases</t>
    </r>
    <r>
      <rPr>
        <sz val="10"/>
        <rFont val="Arial"/>
        <family val="0"/>
      </rPr>
      <t>: If you wish to calculate sums of quantified inputs or releases, other than the ones already displayed, remember not to double-count Hg amounts quantified for several source categories (e.g. Hg amounts that are counted under both production, use, and disposal) . This requires a deeper analysis based on relevant Toolkit report sections.</t>
    </r>
  </si>
  <si>
    <t>Disclaimer:</t>
  </si>
  <si>
    <t>This publication is intended to serve as a guide. While the information provided is believed to be accurate, UNEP disclaims any responsibility for possible inaccuracies or omissions and consequences that may flow from them. Neither UNEP nor any individual involved in the preparation of this publication shall be liable for any injury, loss, damage or prejudice of any kind that may be caused by persons who have acted based on their understanding of the information contained in this publication.</t>
  </si>
  <si>
    <t>The designation employed and the presentation of material in this publication do not imply any expression of any opinion whatsoever on the part of the United Nations or UNEP concerning the legal status of any country, territory, city or area or any of its authorities, or concerning any definition of frontiers or boundaries.</t>
  </si>
  <si>
    <t>Summary of estimated mercury inputs and releases</t>
  </si>
  <si>
    <t>Enter year, date and responsible institution/person</t>
  </si>
  <si>
    <t>SUM OF QUANTIFIED RELEASES:</t>
  </si>
  <si>
    <t>(a and (b: See note text in the relevant sheets</t>
  </si>
  <si>
    <t xml:space="preserve">- </t>
  </si>
  <si>
    <t>Draft spreadsheet of UNEP Chemicals' Toolkit for identification and quantification of mercury releases</t>
  </si>
  <si>
    <t>Unit</t>
  </si>
  <si>
    <t>Kg Hg/y</t>
  </si>
  <si>
    <t>Enter input factor</t>
  </si>
  <si>
    <t>Air</t>
  </si>
  <si>
    <t>Water</t>
  </si>
  <si>
    <t>Land</t>
  </si>
  <si>
    <t>Products</t>
  </si>
  <si>
    <t>General waste</t>
  </si>
  <si>
    <t>?</t>
  </si>
  <si>
    <t>Source category: Extraction and use of fuels/energy sources</t>
  </si>
  <si>
    <t>5.1.1</t>
  </si>
  <si>
    <t>5.1</t>
  </si>
  <si>
    <t>Coal combustion in large power plants</t>
  </si>
  <si>
    <t>0.05-0.5</t>
  </si>
  <si>
    <t>Default input factor</t>
  </si>
  <si>
    <t>Su-C</t>
  </si>
  <si>
    <t xml:space="preserve"> Enter activity rate</t>
  </si>
  <si>
    <t>C</t>
  </si>
  <si>
    <t>Secto r specific treatment/disposal</t>
  </si>
  <si>
    <t>Calculated Hg output, Kg/y</t>
  </si>
  <si>
    <t>Enter output distribution factors (unitless)</t>
  </si>
  <si>
    <t>Notes:</t>
  </si>
  <si>
    <t>"Output scenario"</t>
  </si>
  <si>
    <t>0.05-0.5 (a</t>
  </si>
  <si>
    <t>Source category /phase</t>
  </si>
  <si>
    <t>/Coal wash</t>
  </si>
  <si>
    <t>Calculat. Hg input</t>
  </si>
  <si>
    <t>5.1.2</t>
  </si>
  <si>
    <t>Other coal use</t>
  </si>
  <si>
    <t>Coke production</t>
  </si>
  <si>
    <t>Coal combustion</t>
  </si>
  <si>
    <t>Kg Hg/y (a</t>
  </si>
  <si>
    <t>5.1.3</t>
  </si>
  <si>
    <t>Uses (other than combustion)</t>
  </si>
  <si>
    <t>Residential heating with no controls</t>
  </si>
  <si>
    <t>Oil Combustion Facility with no emissions controls</t>
  </si>
  <si>
    <t>Oil Combustion Facility with PM control using an ESP or scrubber</t>
  </si>
  <si>
    <t>Mineral oils - extraction, refining and use</t>
  </si>
  <si>
    <t>5.1.4</t>
  </si>
  <si>
    <t>Natural gas - extraction, refining and use</t>
  </si>
  <si>
    <t>Nm3 gas/y</t>
  </si>
  <si>
    <t>0.03 - 0.4</t>
  </si>
  <si>
    <t>2 - 200</t>
  </si>
  <si>
    <t>µg Hg/Nm3 gas</t>
  </si>
  <si>
    <t>5.1.5</t>
  </si>
  <si>
    <t>Other fossil fuels - extraction and use</t>
  </si>
  <si>
    <t>Use of oil shale</t>
  </si>
  <si>
    <t>5.1.6</t>
  </si>
  <si>
    <t>Biomass fired power and heat production</t>
  </si>
  <si>
    <t>5.1.7</t>
  </si>
  <si>
    <t>Geothermal power production</t>
  </si>
  <si>
    <t>40 - 193 (b</t>
  </si>
  <si>
    <t>Combustion of peat</t>
  </si>
  <si>
    <t>Combustion of other fossil fuels</t>
  </si>
  <si>
    <t>Remarks</t>
  </si>
  <si>
    <t>5.5</t>
  </si>
  <si>
    <t>5.5.1</t>
  </si>
  <si>
    <t>Thermometers with mercury</t>
  </si>
  <si>
    <t>/Use+disposal</t>
  </si>
  <si>
    <t>Enter Hg input</t>
  </si>
  <si>
    <t>Medical thermometers</t>
  </si>
  <si>
    <t>Ambient air thermom.</t>
  </si>
  <si>
    <t>Industrial and special th.</t>
  </si>
  <si>
    <t>Other glass Hg thermometers</t>
  </si>
  <si>
    <t>(a1) No separate collection. Waste handl. controlled</t>
  </si>
  <si>
    <t>(a3) Separate collection. Waste handl. controlled</t>
  </si>
  <si>
    <t>/Production</t>
  </si>
  <si>
    <t>/Use+disposal:</t>
  </si>
  <si>
    <t>/Extraction</t>
  </si>
  <si>
    <t>/Refining</t>
  </si>
  <si>
    <t>/Extraction/refining</t>
  </si>
  <si>
    <t>/Use of raw or pre-cleaned gas</t>
  </si>
  <si>
    <t>/Use of pipeline gas (consumer quality)</t>
  </si>
  <si>
    <t>0.5-1.5</t>
  </si>
  <si>
    <t>5-200</t>
  </si>
  <si>
    <t>2-5</t>
  </si>
  <si>
    <t>1-40</t>
  </si>
  <si>
    <t>g Hg/item</t>
  </si>
  <si>
    <t>items/y</t>
  </si>
  <si>
    <t>(a2) No separate collection. Informal waste handl. widespread</t>
  </si>
  <si>
    <t>Electrical switches and relays with mercury</t>
  </si>
  <si>
    <t>5.5.2</t>
  </si>
  <si>
    <t>0.02-0.25</t>
  </si>
  <si>
    <t>0.25</t>
  </si>
  <si>
    <t>Inhabitants</t>
  </si>
  <si>
    <t>g Hg/(y*inhabitant)</t>
  </si>
  <si>
    <t>5.5.3</t>
  </si>
  <si>
    <t>Fluorescent tubes (double end)</t>
  </si>
  <si>
    <t>Compact fluorescent lamp (CFL single end)</t>
  </si>
  <si>
    <t xml:space="preserve">High pressure mercury vapour </t>
  </si>
  <si>
    <t>High-pressure sodium lamps</t>
  </si>
  <si>
    <t>UV light for tanning</t>
  </si>
  <si>
    <t>Metal halide lamps</t>
  </si>
  <si>
    <t>10 - 40</t>
  </si>
  <si>
    <t>5 - 15</t>
  </si>
  <si>
    <t>30</t>
  </si>
  <si>
    <t>10 - 30</t>
  </si>
  <si>
    <t>5 - 25</t>
  </si>
  <si>
    <t>25</t>
  </si>
  <si>
    <t>mg Hg/item</t>
  </si>
  <si>
    <t>Biocides and pesticides with mercury</t>
  </si>
  <si>
    <t>5.5.5</t>
  </si>
  <si>
    <t>5.5.4</t>
  </si>
  <si>
    <t>Batteries with mercury</t>
  </si>
  <si>
    <t>Mercury oxide (all sizes); also called mercury-zinc cells</t>
  </si>
  <si>
    <t>Zinc-air button cells</t>
  </si>
  <si>
    <t>Alkaline button cells</t>
  </si>
  <si>
    <t>Silver oxide button cells</t>
  </si>
  <si>
    <t>Alkaline, other than  button cell shapes</t>
  </si>
  <si>
    <t>Paints with mercury</t>
  </si>
  <si>
    <t>5.5.6</t>
  </si>
  <si>
    <t>0.3-5</t>
  </si>
  <si>
    <t>/Use (application + when appl.)</t>
  </si>
  <si>
    <t>Cosmetics and related products with mercury</t>
  </si>
  <si>
    <t>10-50</t>
  </si>
  <si>
    <t>Source category: Intentional use of mercury in industrial processes</t>
  </si>
  <si>
    <t>5.4</t>
  </si>
  <si>
    <t>5.4.1</t>
  </si>
  <si>
    <t>Chlor-alkali production with mercury-technology</t>
  </si>
  <si>
    <t>5.4.2</t>
  </si>
  <si>
    <t>100-140</t>
  </si>
  <si>
    <t>VCM production with mercury catalyst</t>
  </si>
  <si>
    <t>Acetaldehyde production with mercury catalyst</t>
  </si>
  <si>
    <t>Other production of chemicals and polymers with mercury</t>
  </si>
  <si>
    <t>Exists? (y/n/?)</t>
  </si>
  <si>
    <t>Chlor-alkali prod.</t>
  </si>
  <si>
    <t>Other oil combustion facilities</t>
  </si>
  <si>
    <t>5.2</t>
  </si>
  <si>
    <t>5.2.1</t>
  </si>
  <si>
    <t>5.2.2</t>
  </si>
  <si>
    <t>Gold and silver extraction with mercury amalgamation processes</t>
  </si>
  <si>
    <t>Zinc extraction and initial processing</t>
  </si>
  <si>
    <t>Mercury (primary) extraction and initial processing</t>
  </si>
  <si>
    <t>/Mining and concentrating</t>
  </si>
  <si>
    <t>/Production of zinc from concentrates</t>
  </si>
  <si>
    <t>Copper extraction and initial processing</t>
  </si>
  <si>
    <t>/Production of copper from concentrates</t>
  </si>
  <si>
    <t>Lead extraction and initial processing</t>
  </si>
  <si>
    <t>/Production of lead from concentrates</t>
  </si>
  <si>
    <t>5.3.3</t>
  </si>
  <si>
    <t>5.3.4</t>
  </si>
  <si>
    <t>5.3.5</t>
  </si>
  <si>
    <t>5.3.6</t>
  </si>
  <si>
    <t>(a: Due to lack of data, this calculation is proposed with traditional emission factors, instead of input and output factors as recommended in this Toolkit.</t>
  </si>
  <si>
    <t xml:space="preserve">    If you have data to use the inputs and outputs balance method, the calculation approach used for zinc can be copied here for gold.</t>
  </si>
  <si>
    <t>Aliminium extraction and initial processing</t>
  </si>
  <si>
    <t>/Aluminium production from alumina</t>
  </si>
  <si>
    <t>5.3.7</t>
  </si>
  <si>
    <t>5.3.8</t>
  </si>
  <si>
    <t>5.3.9</t>
  </si>
  <si>
    <t>Primary ferrous metal production</t>
  </si>
  <si>
    <t>Other non-ferrous metals - extraction and processing</t>
  </si>
  <si>
    <t>0.05</t>
  </si>
  <si>
    <t>/From whole ore</t>
  </si>
  <si>
    <t>3</t>
  </si>
  <si>
    <t>kg Hg/kg gold produced</t>
  </si>
  <si>
    <t>kg gold produced/y</t>
  </si>
  <si>
    <t>/From concentrate</t>
  </si>
  <si>
    <t>/From concentrate and with use of retorts</t>
  </si>
  <si>
    <t>5.3</t>
  </si>
  <si>
    <t>Source category: Production of other minerals and materials with mercury impurities</t>
  </si>
  <si>
    <t>5.3.1</t>
  </si>
  <si>
    <t>5.3.2</t>
  </si>
  <si>
    <t>Pulp and paper production</t>
  </si>
  <si>
    <t>Production of lime and light weight aggregates</t>
  </si>
  <si>
    <t>Lime production</t>
  </si>
  <si>
    <t>Light weight aggregate kilns</t>
  </si>
  <si>
    <t>5.8</t>
  </si>
  <si>
    <t>Source category: Waste incineration</t>
  </si>
  <si>
    <t>5.8.1</t>
  </si>
  <si>
    <t>Incineration of municipal/general waste</t>
  </si>
  <si>
    <t>1-10</t>
  </si>
  <si>
    <t>Acid gas control with limestone (or similar acid gas absorbent) and downstream high efficiency FF or ESP PM retention</t>
  </si>
  <si>
    <t>Mercury specific absorbents and downstream FF</t>
  </si>
  <si>
    <t>5.8.2</t>
  </si>
  <si>
    <t>No emission reduction devices</t>
  </si>
  <si>
    <t>PM reduc, simple ESP, or similar</t>
  </si>
  <si>
    <t>Incineration of hazardous waste</t>
  </si>
  <si>
    <t>Incineration of medical waste</t>
  </si>
  <si>
    <t>5.8.3</t>
  </si>
  <si>
    <t>8-40</t>
  </si>
  <si>
    <t>5.8.4</t>
  </si>
  <si>
    <t>Sewage sludge incineration</t>
  </si>
  <si>
    <t>5.8.5</t>
  </si>
  <si>
    <t>"Output scenario (where relevant)</t>
  </si>
  <si>
    <t>5.6</t>
  </si>
  <si>
    <t>5.6.1</t>
  </si>
  <si>
    <t>Source category: Consumer products with intentional use of mercury</t>
  </si>
  <si>
    <t>Source category: Other intentional product/process use</t>
  </si>
  <si>
    <t>0.05-0.2</t>
  </si>
  <si>
    <t>/Preparations of fillings at dentist clinics (share of current mercury supply for amalgam fillings)</t>
  </si>
  <si>
    <t>/Disposal (releases from mercury supply for fillings 10-20 years ago)</t>
  </si>
  <si>
    <t>/Use - from fillings in the mouth (releases from mercury supply for fillings 5-15 years ago)</t>
  </si>
  <si>
    <t>(a: See detailed explanations in the dental fillings section in the Toolkit report.</t>
  </si>
  <si>
    <t xml:space="preserve">     If no change in the amalgam fillings supply have been observed, current supply may be used as a substitute; changes are likely to have occurred in most countries.</t>
  </si>
  <si>
    <t>- In countries where most dental clinics are equipped with high efficiency amalgam filters (95% retention rate)</t>
  </si>
  <si>
    <t>-  In countries where only dental chair filters/strainers are used in most clinics</t>
  </si>
  <si>
    <r>
      <t>Preparations of fillings</t>
    </r>
    <r>
      <rPr>
        <sz val="10"/>
        <rFont val="Times New Roman"/>
        <family val="1"/>
      </rPr>
      <t xml:space="preserve"> at dentist clinics (input is current Hg supply for amalgam fillings)</t>
    </r>
  </si>
  <si>
    <r>
      <t>Use</t>
    </r>
    <r>
      <rPr>
        <sz val="10"/>
        <rFont val="Times New Roman"/>
        <family val="1"/>
      </rPr>
      <t xml:space="preserve"> (input is Hg supply for </t>
    </r>
    <r>
      <rPr>
        <i/>
        <sz val="10"/>
        <rFont val="Times New Roman"/>
        <family val="1"/>
      </rPr>
      <t>fillings</t>
    </r>
    <r>
      <rPr>
        <sz val="10"/>
        <rFont val="Times New Roman"/>
        <family val="1"/>
      </rPr>
      <t xml:space="preserve"> 5-15 years ago (a)</t>
    </r>
  </si>
  <si>
    <r>
      <t xml:space="preserve">Disposal </t>
    </r>
    <r>
      <rPr>
        <sz val="10"/>
        <rFont val="Times New Roman"/>
        <family val="1"/>
      </rPr>
      <t>(input is Hg supply for fillings 10-20 years ago (a)</t>
    </r>
  </si>
  <si>
    <t>5.6.2</t>
  </si>
  <si>
    <t>Manometers and gauges with mercury</t>
  </si>
  <si>
    <t>Sector specific treatment/disposal</t>
  </si>
  <si>
    <t>Laboratory chemicals and equipment with mercury</t>
  </si>
  <si>
    <t>5.6.3</t>
  </si>
  <si>
    <t>Mercury metal use in religious rituals and folklore medicine</t>
  </si>
  <si>
    <t>Miscellaneous product uses, mercury metal uses, and other sources</t>
  </si>
  <si>
    <t>5.6.4</t>
  </si>
  <si>
    <t>5.6.5</t>
  </si>
  <si>
    <t>Infra red detection semiconductors</t>
  </si>
  <si>
    <t>Bougie tubes and Cantor tubes</t>
  </si>
  <si>
    <t>Educational uses</t>
  </si>
  <si>
    <t>Gyroscopes with mercury</t>
  </si>
  <si>
    <t>Vacuum pumps with mercury</t>
  </si>
  <si>
    <t>Use of mercury as a refrigerant in certain cooling systems</t>
  </si>
  <si>
    <t>Light houses (Marine navigation lights)</t>
  </si>
  <si>
    <t>Mercury in large bearings of rotating mechanic parts in for example older waste water treatment plants</t>
  </si>
  <si>
    <t>Tanning</t>
  </si>
  <si>
    <t>Pigments</t>
  </si>
  <si>
    <t>Browning and etching steel</t>
  </si>
  <si>
    <t>Certain colour photograph paper types</t>
  </si>
  <si>
    <t>Recoil softeners in rifles</t>
  </si>
  <si>
    <t>Explosives (mercury-fulminate a.o.)</t>
  </si>
  <si>
    <t>Fireworks</t>
  </si>
  <si>
    <t>Executive toys</t>
  </si>
  <si>
    <t>Others</t>
  </si>
  <si>
    <t>Medical blood pressure gauges</t>
  </si>
  <si>
    <t>Manometers</t>
  </si>
  <si>
    <t>U-shaped manometers</t>
  </si>
  <si>
    <t xml:space="preserve">Manometers for milking systems </t>
  </si>
  <si>
    <t>Manometers and barometers used for measuring air pressure</t>
  </si>
  <si>
    <t xml:space="preserve">Barometers </t>
  </si>
  <si>
    <t>Environmental manometers</t>
  </si>
  <si>
    <t>Pressure valves in district heating plants</t>
  </si>
  <si>
    <t>Pressure gauges</t>
  </si>
  <si>
    <t>Blood gas analyzer</t>
  </si>
  <si>
    <t>Mercury electrodes (calomel)</t>
  </si>
  <si>
    <t>Blood lead analyzer</t>
  </si>
  <si>
    <t>Mercury drop electrode</t>
  </si>
  <si>
    <t>Coulter counter</t>
  </si>
  <si>
    <t>Sample collector for oil offshore</t>
  </si>
  <si>
    <t>Centrifuges</t>
  </si>
  <si>
    <t>Electron microscope</t>
  </si>
  <si>
    <t>Thermostats</t>
  </si>
  <si>
    <t xml:space="preserve">Thermometers, manometers, and other measuring equipment </t>
  </si>
  <si>
    <t>Mercury lamps for atomic absorption spectrophotometers and other equipment</t>
  </si>
  <si>
    <t>Items/y</t>
  </si>
  <si>
    <t>-</t>
  </si>
  <si>
    <t>5.7</t>
  </si>
  <si>
    <t>5.7.1</t>
  </si>
  <si>
    <t>Source category: Production of recycled metals ("secondary" metal production)</t>
  </si>
  <si>
    <t>Production of recycled mercury ("secondary production”)</t>
  </si>
  <si>
    <t>Production of recycled ferrous metals (iron and steel)</t>
  </si>
  <si>
    <t>Production of other recycled metals</t>
  </si>
  <si>
    <t>Output scenario (where relevant)</t>
  </si>
  <si>
    <t>Note:</t>
  </si>
  <si>
    <t>(a: The Hg input to be entered here is metric tons of seconday mercury produced per year.</t>
  </si>
  <si>
    <t>Diffuse disposal under some control</t>
  </si>
  <si>
    <t>Source category: Waste deposition/landfilling and waste water treatment</t>
  </si>
  <si>
    <t>This source category is expected covered under the original sources of the mercury containing material, under det output path "sector specific treatment/disposal accompanied by a descriptive note; e.g. solid residues from waste incineration or metal extraction.</t>
  </si>
  <si>
    <t>Informal local disposal of industrial production waste</t>
  </si>
  <si>
    <t>Waste water system/treatment</t>
  </si>
  <si>
    <t>(b: It should be noted that mercury releases to informal waste incineration and waste dumping under the individual product and materials sub-categories are quantified in these sub-sections as direct releases to land, air and water.</t>
  </si>
  <si>
    <t xml:space="preserve">    Beware of double-counting. Note, however, that mercury inputs to dumping from mercury trace concentrations in high volume materials (plastics, paper, etc.) are not quantified individually elsewhere in this Toolkit</t>
  </si>
  <si>
    <t>5.9</t>
  </si>
  <si>
    <t>5.9.1</t>
  </si>
  <si>
    <t>5.9.2</t>
  </si>
  <si>
    <t>5.9.3</t>
  </si>
  <si>
    <t>5.9.4</t>
  </si>
  <si>
    <t>5.9.5</t>
  </si>
  <si>
    <t>No treatment; direct release from sewage pipe</t>
  </si>
  <si>
    <t>Mechanical treatment only</t>
  </si>
  <si>
    <t>Mechanical and biological (activated sludge) treatment; no land application of sludge</t>
  </si>
  <si>
    <t>Mechanical and biological (activated sludge) treatment; 40% of sludge used for land application</t>
  </si>
  <si>
    <t>0.5-10</t>
  </si>
  <si>
    <t>m3 waste water/y</t>
  </si>
  <si>
    <t>mg Hg/m3 waste water</t>
  </si>
  <si>
    <t>Enter description of estimation scenario presented below (maximum defaults/minimum defaults/other):</t>
  </si>
  <si>
    <t>Source category: Crematoria and cemetaries</t>
  </si>
  <si>
    <t>Crematoria</t>
  </si>
  <si>
    <t>1-4</t>
  </si>
  <si>
    <t>g Hg/corpse</t>
  </si>
  <si>
    <t>corpses cremated/y</t>
  </si>
  <si>
    <t>corpses burried/y</t>
  </si>
  <si>
    <t>5.10</t>
  </si>
  <si>
    <t>5.10.1</t>
  </si>
  <si>
    <t>5.10.2</t>
  </si>
  <si>
    <t>Read "introduction" before starting</t>
  </si>
  <si>
    <t>Source category</t>
  </si>
  <si>
    <t xml:space="preserve"> - If "other": Summarise main principles/characteristics in a few words (elaborate description in inventory report):</t>
  </si>
  <si>
    <t>Source category: Primary (virgin) metal production</t>
  </si>
  <si>
    <t>Hg unaccounted for presented under "Sector specific treatment/disposal" (a</t>
  </si>
  <si>
    <t>Hg unaccounted for is presented as releases (a</t>
  </si>
  <si>
    <t>Gold extraction and initial processing by methods other than mercury amalgamation (a</t>
  </si>
  <si>
    <t xml:space="preserve">   In order for the releases to be presented correctly in the summary sheet, only one of the presentation options can be used (or the summary sheet should be adjusted for this source by the user).</t>
  </si>
  <si>
    <t>Controlled landfills/deposits (a</t>
  </si>
  <si>
    <t>Informal dumping of general waste (b</t>
  </si>
  <si>
    <t>Light sources with mercury</t>
  </si>
  <si>
    <t>Sub-C</t>
  </si>
  <si>
    <t>t coal/y</t>
  </si>
  <si>
    <t>t oil/y</t>
  </si>
  <si>
    <t>t peat/y</t>
  </si>
  <si>
    <t>t oil shale/y</t>
  </si>
  <si>
    <t>t concentratel/y</t>
  </si>
  <si>
    <t>t pig iron produced</t>
  </si>
  <si>
    <t>t cement produced/y</t>
  </si>
  <si>
    <t>t Cl2/y</t>
  </si>
  <si>
    <t>t bat/y</t>
  </si>
  <si>
    <t>t paint/y</t>
  </si>
  <si>
    <t>t cream or soap/y</t>
  </si>
  <si>
    <t>g Hg/t waste</t>
  </si>
  <si>
    <t>t waste landfilled/y</t>
  </si>
  <si>
    <t>t waste dumped/y</t>
  </si>
  <si>
    <t>g Hg/t waste incinerated</t>
  </si>
  <si>
    <t>t waste incinerated/y</t>
  </si>
  <si>
    <t>kg Hg/t batteries</t>
  </si>
  <si>
    <t>kg Hg/t</t>
  </si>
  <si>
    <t>g Hg/t Cl2 produced</t>
  </si>
  <si>
    <t>g Hg/t VCM produced</t>
  </si>
  <si>
    <t>g Hg/t</t>
  </si>
  <si>
    <t>g Hg/t pig iron produced</t>
  </si>
  <si>
    <t>mg Hg/t</t>
  </si>
  <si>
    <t>(b: Based on one data set only</t>
  </si>
  <si>
    <t>mg Hg/t (dry weight)</t>
  </si>
  <si>
    <t>(a: These two possible presentation forms pertains to the way "unaccounted losses" is chosen to be presented - see the Toolkit report section. It is up to the users to decide which one of the release presentations they choose.</t>
  </si>
  <si>
    <t>(b: Enter sum for total inputs to recycling, if know from other sources</t>
  </si>
  <si>
    <t>t concentrate/y</t>
  </si>
  <si>
    <r>
      <t xml:space="preserve">Dental mercury-amalgam fillings </t>
    </r>
    <r>
      <rPr>
        <b/>
        <sz val="10"/>
        <color indexed="10"/>
        <rFont val="Arial"/>
        <family val="2"/>
      </rPr>
      <t>(b</t>
    </r>
  </si>
  <si>
    <t>(b: Note that output distribution factors should not sum up to 1 for this source or phase.</t>
  </si>
  <si>
    <t>(a: Note that output distribution factors should not sum up to 1 for this source or phase.</t>
  </si>
  <si>
    <t>/Production (a</t>
  </si>
  <si>
    <r>
      <t xml:space="preserve">(b </t>
    </r>
    <r>
      <rPr>
        <sz val="10"/>
        <rFont val="Arial"/>
        <family val="0"/>
      </rPr>
      <t>Kg Hg/y</t>
    </r>
  </si>
  <si>
    <t>(c: Note that output distribution factors should not sum up to 1 for this source or phase.</t>
  </si>
  <si>
    <t>(a, (c</t>
  </si>
  <si>
    <t>(a: Important: If coal wash is aplied, the Hg input to combustion is the calculated output "Products" from coal wash. For more complicated mixes, see the relevant section in the toolkit report.</t>
  </si>
  <si>
    <t>Other minerals and materials</t>
  </si>
  <si>
    <t>Impurity in pro-ducts</t>
  </si>
  <si>
    <t>Cat. no.</t>
  </si>
  <si>
    <t>Estimated Hg input, Kg Hg/y</t>
  </si>
  <si>
    <t>Combustion/use of diesel, gasoil, petroleum, kerosene</t>
  </si>
  <si>
    <t>Oil refining</t>
  </si>
  <si>
    <t>Extraction and processing of natural gas</t>
  </si>
  <si>
    <t>Oil extraction</t>
  </si>
  <si>
    <t>Standard estimate</t>
  </si>
  <si>
    <t>Estimated Hg releases, standard estimates, Kg Hg/y</t>
  </si>
  <si>
    <t>Sector specific waste treatment /disposal</t>
  </si>
  <si>
    <t>Source present?</t>
  </si>
  <si>
    <t>Y/N/?</t>
  </si>
  <si>
    <t>Annual consumption/production</t>
  </si>
  <si>
    <t xml:space="preserve">ENERGY CONSUMPTION AND FUEL PRODUCTION </t>
  </si>
  <si>
    <t>Production of zinc from concentrates</t>
  </si>
  <si>
    <t>Gold extraction by methods other than mercury amalgamation</t>
  </si>
  <si>
    <t>Production of copper from concentrates</t>
  </si>
  <si>
    <t>Production of lead from concentrates</t>
  </si>
  <si>
    <t>5.2.3</t>
  </si>
  <si>
    <t>5.2.4</t>
  </si>
  <si>
    <t>5.2.5</t>
  </si>
  <si>
    <t>5.2.6</t>
  </si>
  <si>
    <t>5.2.7</t>
  </si>
  <si>
    <t>5.2.9</t>
  </si>
  <si>
    <t>Cement production</t>
  </si>
  <si>
    <t>t concentrate used/y</t>
  </si>
  <si>
    <t>DOMESTIC PRODUCTION AND PROCESSING WITH INTENTIONAL MERCURY USE</t>
  </si>
  <si>
    <t>Chlor-alkali production with mercury-cells</t>
  </si>
  <si>
    <t>5.4.3</t>
  </si>
  <si>
    <t>5.4.4</t>
  </si>
  <si>
    <t>Production of products with mercury content</t>
  </si>
  <si>
    <t>5.5.7</t>
  </si>
  <si>
    <t>5.6.3, 5.6.5</t>
  </si>
  <si>
    <t>Polyurethane (PU, PUR) produced with mercury catalyst</t>
  </si>
  <si>
    <t>Use and disposal of products with mercury content</t>
  </si>
  <si>
    <t>Medical Hg thermometers</t>
  </si>
  <si>
    <t>Other glass Hg thermometers (air, laboratory, dairy, etc.)</t>
  </si>
  <si>
    <t>Paints with mercury preservatives</t>
  </si>
  <si>
    <t>Skin lightening creams and soaps with mercury chemicals</t>
  </si>
  <si>
    <t>Seed dressing with mercury chemicals</t>
  </si>
  <si>
    <t>Other Hg containing light sources (see guideline)</t>
  </si>
  <si>
    <t>Mercury oxide (button cells and other sizes); also called mercury-zinc cells</t>
  </si>
  <si>
    <t>Other button cells (zinc-air, alkaline button cells, silver-oxide)</t>
  </si>
  <si>
    <t>Other batteries with mercury (plain cylindrical alkaline, permanganate, etc., see guideline)</t>
  </si>
  <si>
    <t>Preparations of fillings at dentist clinics</t>
  </si>
  <si>
    <t>Disposal (lost and extracted teeth)</t>
  </si>
  <si>
    <t>Use - from fillings already in the mouth</t>
  </si>
  <si>
    <t>Contact person</t>
  </si>
  <si>
    <t>E-mail address</t>
  </si>
  <si>
    <t>Telephone number</t>
  </si>
  <si>
    <t>Fax number</t>
  </si>
  <si>
    <t>GDP (Gross Domestic product)</t>
  </si>
  <si>
    <t>General population data</t>
  </si>
  <si>
    <t>Contact point responsible for inventory</t>
  </si>
  <si>
    <t>Impurity in products</t>
  </si>
  <si>
    <t>5.7.2</t>
  </si>
  <si>
    <t>Waste incineration</t>
  </si>
  <si>
    <t>Informal waste burning</t>
  </si>
  <si>
    <t>Controlled landfills/deposits</t>
  </si>
  <si>
    <t>Open fire waste burning (on landfills and informally)</t>
  </si>
  <si>
    <t>GENERAL WASTE MANAGEMENT SET-UP IN THE COUNTRY</t>
  </si>
  <si>
    <t>Annual numbers dead</t>
  </si>
  <si>
    <t>Before you start on Inventory Level 2!!</t>
  </si>
  <si>
    <t>Energy consumption</t>
  </si>
  <si>
    <t>Primary metal production</t>
  </si>
  <si>
    <t>Fuel production</t>
  </si>
  <si>
    <t>Full name of institution</t>
  </si>
  <si>
    <t>Website of institution</t>
  </si>
  <si>
    <t>Year and reference for population data</t>
  </si>
  <si>
    <t>Year and reference for GDP data</t>
  </si>
  <si>
    <t>Main sectors in the economy of country (list)</t>
  </si>
  <si>
    <t>WASTE HANDLING AND RECYCLING</t>
  </si>
  <si>
    <t>GENERAL CONSUMPTION OF MERCURY IN PRODUCTS, AS METAL MERCURY AND AS MERCURY CONTAINING SUBSTANCES</t>
  </si>
  <si>
    <t>Dental amalgam fillings ("silver" fillings)</t>
  </si>
  <si>
    <t>Other coal uses</t>
  </si>
  <si>
    <t>Charcoal combustion</t>
  </si>
  <si>
    <t>DOMESTIC PRODUCTION OF METALS AND RAW MATERIALS</t>
  </si>
  <si>
    <t>Engine control Hg thermometers and other large industrial/speciality Hg thermometers</t>
  </si>
  <si>
    <t>Cemeteries</t>
  </si>
  <si>
    <t>Miscellaneous mercury release sources not quantified on Inventory level 1</t>
  </si>
  <si>
    <t>Alumina production from bauxite (aluminium production)</t>
  </si>
  <si>
    <t>t biomass/year</t>
  </si>
  <si>
    <t>t charcoal/year</t>
  </si>
  <si>
    <t>g Hg/ t cement produced</t>
  </si>
  <si>
    <t>t Hg produced</t>
  </si>
  <si>
    <t>g Hg/t concentrate</t>
  </si>
  <si>
    <t>t bauxit processed/y</t>
  </si>
  <si>
    <t>Gold extraction with mercury amalgamation - without use of retort</t>
  </si>
  <si>
    <t>Gold extraction with mercury amalgamation - with use of retorts</t>
  </si>
  <si>
    <t>Thermometers</t>
  </si>
  <si>
    <t xml:space="preserve">Other laboratory and medical equipment with mercury </t>
  </si>
  <si>
    <t>Other materials production</t>
  </si>
  <si>
    <t>Crematoria and cemeteries</t>
  </si>
  <si>
    <t>Production of recycled of metals</t>
  </si>
  <si>
    <t>Waste deposition/landfilling and waste water treatment</t>
  </si>
  <si>
    <t>g Hg/t acetaledhyde</t>
  </si>
  <si>
    <t>t VCM/y</t>
  </si>
  <si>
    <t>t acetaldehyde/y</t>
  </si>
  <si>
    <t>Production</t>
  </si>
  <si>
    <t>g Hg used for production/y</t>
  </si>
  <si>
    <t>kg Hg used for production/y</t>
  </si>
  <si>
    <t>Annual production       /waste disposal</t>
  </si>
  <si>
    <r>
      <t>kg recycled mercury</t>
    </r>
    <r>
      <rPr>
        <b/>
        <sz val="10"/>
        <rFont val="Arial"/>
        <family val="2"/>
      </rPr>
      <t>/year</t>
    </r>
  </si>
  <si>
    <t>g Hg/t sludge incinerated</t>
  </si>
  <si>
    <t xml:space="preserve">Total </t>
  </si>
  <si>
    <t>Inpurity in produtcs</t>
  </si>
  <si>
    <t>Inpurity in products</t>
  </si>
  <si>
    <t>Other manometers and gauges with mercury</t>
  </si>
  <si>
    <t>Medical blood pressure gauges (mercury sphygmomanometers)</t>
  </si>
  <si>
    <t>70-85</t>
  </si>
  <si>
    <t>Other laboratory equipment (level 1 default)</t>
  </si>
  <si>
    <t>Laboratory chemicals</t>
  </si>
  <si>
    <t>Laboratory chemicals and pharmaceutical (level 1 default)</t>
  </si>
  <si>
    <t>g Hg/y*inhabitant)</t>
  </si>
  <si>
    <t>5.5.8</t>
  </si>
  <si>
    <t>5.5.5.</t>
  </si>
  <si>
    <t>t batteries sold/y</t>
  </si>
  <si>
    <t>items sold/y</t>
  </si>
  <si>
    <t>Polyurethane with mercury catalysts</t>
  </si>
  <si>
    <t>PM control with general ESP, or PS</t>
  </si>
  <si>
    <t>g Hg/t biomass (dry weight)</t>
  </si>
  <si>
    <t>0.07-1</t>
  </si>
  <si>
    <t>t bauxite/y</t>
  </si>
  <si>
    <t>g Hg/t bauxite</t>
  </si>
  <si>
    <t>/Alumina production from bauxite</t>
  </si>
  <si>
    <t>Annual consumption/population</t>
  </si>
  <si>
    <t>Combustion/use of petroleum coke and heavy oil</t>
  </si>
  <si>
    <t>/Use of gasoline, diesel and other light distillates:</t>
  </si>
  <si>
    <t>Transportation and other uses other than combustion</t>
  </si>
  <si>
    <t>/Use of heavy oil and petroleum coke:</t>
  </si>
  <si>
    <t>10 - 100</t>
  </si>
  <si>
    <t>1 - 10</t>
  </si>
  <si>
    <t>Oil combustion facilities</t>
  </si>
  <si>
    <t>g Hg/t(dry weight)</t>
  </si>
  <si>
    <t>0.007-0.07</t>
  </si>
  <si>
    <t>Gas processing with mercury removal</t>
  </si>
  <si>
    <t>Gas processing without mercury removal</t>
  </si>
  <si>
    <t>Informal dumping of general waste *1</t>
  </si>
  <si>
    <t>Coal combustion and other coal use</t>
  </si>
  <si>
    <t>Other fossil fuel and biomass combustion</t>
  </si>
  <si>
    <t>Gold extraction with mercury amalgamation</t>
  </si>
  <si>
    <t>Other production of chemicals and polymers</t>
  </si>
  <si>
    <t>Use and disposal of other products</t>
  </si>
  <si>
    <t>Production of recycled metals</t>
  </si>
  <si>
    <t>Combustion of oil shale</t>
  </si>
  <si>
    <t>Polyurethane production with mercury catalysts</t>
  </si>
  <si>
    <t>Products for browning and etching steel</t>
  </si>
  <si>
    <t>Activity rate</t>
  </si>
  <si>
    <t>Oil and gas production</t>
  </si>
  <si>
    <t>Primary metal production (excl. gold production by amalgamation)</t>
  </si>
  <si>
    <t>By-products and impurities</t>
  </si>
  <si>
    <t>INVENTORY LEVEL 1 - MERCURY SOURCES IDENTIFIED</t>
  </si>
  <si>
    <t>INVENTORY LEVEL 1 - EXECUTIVE SUMMARY</t>
  </si>
  <si>
    <t>INVENTORY LEVEL 1 - SUMMARY OF MERCURY INPUTS</t>
  </si>
  <si>
    <t>INVENTORY LEVEL 1 - SUMMARY OF RELEASES</t>
  </si>
  <si>
    <t>INVENTORY LEVEL 1 - TOTAL SUMMARY</t>
  </si>
  <si>
    <t>NOTE: Selection regarding waste management:</t>
  </si>
  <si>
    <t>Answer according to your best estimate  (you may revise once you have more specific data)</t>
  </si>
  <si>
    <t>0,007-0,07</t>
  </si>
  <si>
    <t>g Hg/ t biomass used in production</t>
  </si>
  <si>
    <t>Use and disposal of dental amalgam fillings</t>
  </si>
  <si>
    <t>Bougie tubes and Cantor tubes (medical)</t>
  </si>
  <si>
    <t>Light houses (levelling bearings in marine navigation lights)</t>
  </si>
  <si>
    <t>kg Hg/t Hg produced</t>
  </si>
  <si>
    <t>g Hg/t ore used (extracted)</t>
  </si>
  <si>
    <t>Production of chemicals</t>
  </si>
  <si>
    <t>Mercury used in religious rituals (amulets and other uses)</t>
  </si>
  <si>
    <t>Mercury used in traditional medicines (ayurvedic and others) and homeopathic medicine</t>
  </si>
  <si>
    <t>Production of lime</t>
  </si>
  <si>
    <t>Production of light weight aggregates (burnt clay nuts for building purposes)</t>
  </si>
  <si>
    <t>0.01-0.05</t>
  </si>
  <si>
    <t>0.005</t>
  </si>
  <si>
    <t>Other manometers (level 1 default for whole group)</t>
  </si>
  <si>
    <t>0.2-2</t>
  </si>
  <si>
    <t>g Hg/vehicle</t>
  </si>
  <si>
    <t>vehicles recycled/y</t>
  </si>
  <si>
    <t>4x conc. in biomass</t>
  </si>
  <si>
    <t>No filter</t>
  </si>
  <si>
    <t>t gold ore used/y</t>
  </si>
  <si>
    <t>g Hg/t ore used</t>
  </si>
  <si>
    <t>1020-1040</t>
  </si>
  <si>
    <t>kg Hg/kg Hg released totally</t>
  </si>
  <si>
    <t>Y</t>
  </si>
  <si>
    <t>Use of pipeline gas (consumer quality)</t>
  </si>
  <si>
    <t>Use of raw or pre-cleaned natural gas</t>
  </si>
  <si>
    <t xml:space="preserve">*1: The estimated quantities include mercury in products which has also been accounted for under each product category. </t>
  </si>
  <si>
    <t>in the total for mercury inputs. These 10% represent approximately the mercury input to waste from materials which were not quantified individually in Inventory Level 1 of this Toolkit.</t>
  </si>
  <si>
    <t xml:space="preserve">*2: The estimated quantities include mercury in products which has also been accounted for under each product category. </t>
  </si>
  <si>
    <t>Waste water system/treatment *3</t>
  </si>
  <si>
    <t>Controlled landfils/deposits *1</t>
  </si>
  <si>
    <t xml:space="preserve">*3: The estimated input and release to water include mercury amounts which have also been accounted for under each source category. </t>
  </si>
  <si>
    <t>Waste water system/treatment *2</t>
  </si>
  <si>
    <r>
      <t>Waste deposition</t>
    </r>
    <r>
      <rPr>
        <sz val="10"/>
        <rFont val="Arial"/>
        <family val="2"/>
      </rPr>
      <t>*1</t>
    </r>
  </si>
  <si>
    <t xml:space="preserve">*2: The estimated release to water include mercury amounts which have also been accounted for under each source category. </t>
  </si>
  <si>
    <t>To avoid double counting, input to, and release to water from, waste water system/treatment have been subtracted automatically in the TOTALS.</t>
  </si>
  <si>
    <t>Original English version</t>
  </si>
  <si>
    <t>N</t>
  </si>
  <si>
    <t>Answer Y or N in cell B4 in the sheet 'Step5 - Waste treatment + recycling'</t>
  </si>
  <si>
    <t>Can be changed according to language</t>
  </si>
  <si>
    <t>Not to be changed</t>
  </si>
  <si>
    <t>The "-", indicated when the source category is not present in the country, cannot be changed</t>
  </si>
  <si>
    <t>Present?</t>
  </si>
  <si>
    <t>Enter translation (in white cells only)</t>
  </si>
  <si>
    <t>Y/N</t>
  </si>
  <si>
    <t>White cells:</t>
  </si>
  <si>
    <t>Yellow cells:</t>
  </si>
  <si>
    <t>Important for translators, in this sheet:</t>
  </si>
  <si>
    <t>See Appendix 1 to the Inventory Level1 Guideline for more explanation.</t>
  </si>
  <si>
    <t>To avoid double counting, the release to land from informal dumping of general waste has been subtracted automatically in the TOTALS.</t>
  </si>
  <si>
    <r>
      <t xml:space="preserve">To avoid double counting, the release to </t>
    </r>
    <r>
      <rPr>
        <u val="single"/>
        <sz val="10"/>
        <rFont val="Arial"/>
        <family val="2"/>
      </rPr>
      <t>land</t>
    </r>
    <r>
      <rPr>
        <sz val="10"/>
        <rFont val="Arial"/>
        <family val="2"/>
      </rPr>
      <t xml:space="preserve"> from informal dumping of general waste has been subtracted automatically in the TOTALS.</t>
    </r>
  </si>
  <si>
    <r>
      <t xml:space="preserve">To avoid double counting, </t>
    </r>
    <r>
      <rPr>
        <u val="single"/>
        <sz val="10"/>
        <rFont val="Arial"/>
        <family val="2"/>
      </rPr>
      <t>input to, and release to water from</t>
    </r>
    <r>
      <rPr>
        <sz val="10"/>
        <rFont val="Arial"/>
        <family val="2"/>
      </rPr>
      <t>, waste water system/treatment have been subtracted automatically in the TOTALS.</t>
    </r>
  </si>
  <si>
    <t>Informal dumping of general waste *1*2</t>
  </si>
  <si>
    <t>Version:</t>
  </si>
  <si>
    <t>Waste incineration and open waste burning*1</t>
  </si>
  <si>
    <t>*1: To avoid double counting of mercury inputs from waste and products in the input TOTAL, only 10% of the mercury input to waste incineration sources, waste deposition and informal dumping is included</t>
  </si>
  <si>
    <t>Incineration of municipal/general waste*1</t>
  </si>
  <si>
    <t>Incineration of hazardous waste*1</t>
  </si>
  <si>
    <t>Incineration of medical waste*1</t>
  </si>
  <si>
    <t>Sewage sludge incineration*1</t>
  </si>
  <si>
    <t>Open fire waste burning (on landfills and informally)*1</t>
  </si>
  <si>
    <t>Other fossil fuel and biomass combustion*4</t>
  </si>
  <si>
    <t>Other materials production*5</t>
  </si>
  <si>
    <t>Other production of chemicals and polymers*6</t>
  </si>
  <si>
    <t>Use and disposal of other products*7</t>
  </si>
  <si>
    <t>*4: Includes petroleum coke, heavy oil, diesel, gasoil, petroleum, kerosene, natural gas, charcoal and other biofules.</t>
  </si>
  <si>
    <t>*5: Includes production of cement and pulp and paper.</t>
  </si>
  <si>
    <t>*6: Includes production of VCM and acetaldehyde</t>
  </si>
  <si>
    <t>Source presence ("Y/N/?") must be entered for all sources for graphics to work properly</t>
  </si>
  <si>
    <t>TOTALS (rounded) *1*2*3</t>
  </si>
  <si>
    <t>1) Sum af "flux…"</t>
  </si>
  <si>
    <t>2) Sum af "rel. beregning.."</t>
  </si>
  <si>
    <t>LØSNINGEN: 1)+2)+"WASTE REL. …" = sum af forskel på enkeltposter</t>
  </si>
  <si>
    <t>DET STEMMER ALTSÅ ALT SAMMEN</t>
  </si>
  <si>
    <t>NOTE THAT CHART LAYOUTS MAY NEED MINOR EDITING TO DISPLAY WELL IN YOUR REPORT (the display is depending on your results)</t>
  </si>
  <si>
    <t xml:space="preserve">*2:  Waste is not an original source to mercury input to society. The estimated quantities include mercury in products which has also been accounted for under each product category. </t>
  </si>
  <si>
    <r>
      <t xml:space="preserve">To signal the importance of this release pathway, the release to </t>
    </r>
    <r>
      <rPr>
        <u val="single"/>
        <sz val="10"/>
        <rFont val="Arial"/>
        <family val="2"/>
      </rPr>
      <t>land</t>
    </r>
    <r>
      <rPr>
        <sz val="10"/>
        <rFont val="Arial"/>
        <family val="2"/>
      </rPr>
      <t xml:space="preserve"> from informal dumping of general waste has NOT been subtracted in the charts.</t>
    </r>
  </si>
  <si>
    <t>To signal the importance of this release pathway, releases to water via waste water system/treatment has NOT been adjusted in the charts in spite of double counting.</t>
  </si>
  <si>
    <t>*7: Includes thermometers, electrical switches and relays, light soruces, batteries, polyurethane with Hg catalyst, paints and skin creams with Hg, blood pressure guages</t>
  </si>
  <si>
    <t>and other manometers, lab chemicals, and other lab and medical uses.</t>
  </si>
  <si>
    <t>from materials which were not quantified individually in Inventory Level 1 of this Toolkit. See Appendix 1 to the Inventory Level1 Guideline for more explanation.</t>
  </si>
  <si>
    <t>*1: Waste is not an original source to mercury input to society. To avoid double counting of mercury inputs from waste and products in the graphs, only 10% of the mercury input to</t>
  </si>
  <si>
    <r>
      <t xml:space="preserve">waste incineration, waste deposition and informal dumping is included in the chart for mercury </t>
    </r>
    <r>
      <rPr>
        <u val="single"/>
        <sz val="10"/>
        <rFont val="Arial"/>
        <family val="2"/>
      </rPr>
      <t>inputs.</t>
    </r>
    <r>
      <rPr>
        <sz val="10"/>
        <rFont val="Arial"/>
        <family val="0"/>
      </rPr>
      <t xml:space="preserve"> These 10% represent approximately the mercury input to waste</t>
    </r>
  </si>
  <si>
    <t>*3:  Wastewater is not an original source to mercury input to society. The estimated input and release to water include mercury amounts which have also been accounted</t>
  </si>
  <si>
    <t xml:space="preserve">for under each source category. To avoid double counting, input to waste water system/treatment have been subtracted automatically in the charts. </t>
  </si>
  <si>
    <t>Copy these notes and show with charts in report</t>
  </si>
  <si>
    <t>NOTE THAT THIS INVENTORY LEVEL 1 - CHARTS SUMMARY TABLE MUST BE USED FOR CHARTS (SPECIALLY DESIGNED TO NEUTRALISE DOUBLE COUNTING OF WASTE CONTRIBUTIONS; SEE NOTES)</t>
  </si>
  <si>
    <t>SCROLL DOWN THIS SHEET TO FIND CHARTS ON OTHER SUMMARY RESULTS - COPY CHARTS TO REPORT ALONG WITH THE NOTES ABOVE</t>
  </si>
  <si>
    <t>THIS TABLE IS NOT FOR DISPLAY IN REPORT</t>
  </si>
  <si>
    <t>See Step5 F4</t>
  </si>
  <si>
    <r>
      <t xml:space="preserve">VERY IMPORTANT: DO </t>
    </r>
    <r>
      <rPr>
        <b/>
        <sz val="10"/>
        <rFont val="Arial"/>
        <family val="2"/>
      </rPr>
      <t>NOT</t>
    </r>
    <r>
      <rPr>
        <sz val="10"/>
        <rFont val="Arial"/>
        <family val="2"/>
      </rPr>
      <t xml:space="preserve"> CHANGE ANY FORMULAS. CHECK CAREFULLY BEFORE TRANSLATION, WHICH CELLS CONTAIN FORMULAS!</t>
    </r>
  </si>
  <si>
    <t>Production of other chemicals (than chlorine and sodium hydroxide) in Chlor-alkali facilities with mercury-cell technology</t>
  </si>
  <si>
    <t xml:space="preserve">This page includes country specific data for population, access to electricity and number of dental personnel. </t>
  </si>
  <si>
    <t xml:space="preserve">These data are used in background calculations and should not be altered by users. </t>
  </si>
  <si>
    <t>UNEP may update data here regularly, as updates become available and as feasible.</t>
  </si>
  <si>
    <t>Country</t>
  </si>
  <si>
    <t>Afghanistan</t>
  </si>
  <si>
    <t>Algeria</t>
  </si>
  <si>
    <t>Angola</t>
  </si>
  <si>
    <t>Argentina</t>
  </si>
  <si>
    <t>Armenia</t>
  </si>
  <si>
    <t>Austria</t>
  </si>
  <si>
    <t>Bahrain</t>
  </si>
  <si>
    <t>Bangladesh</t>
  </si>
  <si>
    <t>Belgium</t>
  </si>
  <si>
    <t>Benin</t>
  </si>
  <si>
    <t>Bolivia</t>
  </si>
  <si>
    <t>Botswana</t>
  </si>
  <si>
    <t>Brazil</t>
  </si>
  <si>
    <t>Brunei Darussalam</t>
  </si>
  <si>
    <t>Burkina Faso</t>
  </si>
  <si>
    <t>Cambodia</t>
  </si>
  <si>
    <t>Cameroon</t>
  </si>
  <si>
    <t>Chile</t>
  </si>
  <si>
    <t>China</t>
  </si>
  <si>
    <t>Colombia</t>
  </si>
  <si>
    <t>Costa Rica</t>
  </si>
  <si>
    <t>Côte d'Ivoire</t>
  </si>
  <si>
    <t>Cuba</t>
  </si>
  <si>
    <t>Democratic People's Republic of Korea</t>
  </si>
  <si>
    <t>Democratic Republic of the Congo</t>
  </si>
  <si>
    <t>Denmark</t>
  </si>
  <si>
    <t>Dominican Republic</t>
  </si>
  <si>
    <t>Ecuador</t>
  </si>
  <si>
    <t>Egypt</t>
  </si>
  <si>
    <t>El Salvador</t>
  </si>
  <si>
    <t>Eritrea</t>
  </si>
  <si>
    <t>Fiji</t>
  </si>
  <si>
    <t>Finland</t>
  </si>
  <si>
    <t>France</t>
  </si>
  <si>
    <t>Gabon</t>
  </si>
  <si>
    <t>Germany</t>
  </si>
  <si>
    <t>Ghana</t>
  </si>
  <si>
    <t>Greece</t>
  </si>
  <si>
    <t>Guatemala</t>
  </si>
  <si>
    <t>Haiti</t>
  </si>
  <si>
    <t>Honduras</t>
  </si>
  <si>
    <t>Iceland</t>
  </si>
  <si>
    <t>India</t>
  </si>
  <si>
    <t>Indonesia</t>
  </si>
  <si>
    <t>Iran, Islamic Republic of</t>
  </si>
  <si>
    <t>Iraq</t>
  </si>
  <si>
    <t>Ireland</t>
  </si>
  <si>
    <t>Israel</t>
  </si>
  <si>
    <t>Italy</t>
  </si>
  <si>
    <t>Jamaica</t>
  </si>
  <si>
    <t>Jordan</t>
  </si>
  <si>
    <t>Kenya</t>
  </si>
  <si>
    <t>Kuwait</t>
  </si>
  <si>
    <t>Kyrgyzstan</t>
  </si>
  <si>
    <t>Lao People's Democratic Republic</t>
  </si>
  <si>
    <t>Lebanon</t>
  </si>
  <si>
    <t>Lesotho</t>
  </si>
  <si>
    <t>Libyan Arab Jamahiriya</t>
  </si>
  <si>
    <t>Luxembourg</t>
  </si>
  <si>
    <t>Madagascar</t>
  </si>
  <si>
    <t>Malaysia</t>
  </si>
  <si>
    <t>Malta</t>
  </si>
  <si>
    <t>Mauritius</t>
  </si>
  <si>
    <t>Monaco</t>
  </si>
  <si>
    <t>Morocco</t>
  </si>
  <si>
    <t>Mozambique</t>
  </si>
  <si>
    <t>Myanmar</t>
  </si>
  <si>
    <t>Namibia</t>
  </si>
  <si>
    <t>Nepal</t>
  </si>
  <si>
    <t>Netherlands</t>
  </si>
  <si>
    <t>Nicaragua</t>
  </si>
  <si>
    <t>Nigeria</t>
  </si>
  <si>
    <t>Norway</t>
  </si>
  <si>
    <t>Oman</t>
  </si>
  <si>
    <t>Pakistan</t>
  </si>
  <si>
    <t>Panama</t>
  </si>
  <si>
    <t>Paraguay</t>
  </si>
  <si>
    <t>Peru</t>
  </si>
  <si>
    <t>Philippines</t>
  </si>
  <si>
    <t>Portugal</t>
  </si>
  <si>
    <t>Qatar</t>
  </si>
  <si>
    <t>Romania</t>
  </si>
  <si>
    <t>Saint Kitts and Nevis</t>
  </si>
  <si>
    <t>Saint Lucia</t>
  </si>
  <si>
    <t>Samoa</t>
  </si>
  <si>
    <t>Saudi Arabia</t>
  </si>
  <si>
    <t>Senegal</t>
  </si>
  <si>
    <t>Slovakia</t>
  </si>
  <si>
    <t>Slovenia</t>
  </si>
  <si>
    <t>South Africa</t>
  </si>
  <si>
    <t>Spain</t>
  </si>
  <si>
    <t>Sri Lanka</t>
  </si>
  <si>
    <t>Sudan</t>
  </si>
  <si>
    <t>Swaziland</t>
  </si>
  <si>
    <t>Sweden</t>
  </si>
  <si>
    <t>Switzerland</t>
  </si>
  <si>
    <t>Syrian Arab Republic</t>
  </si>
  <si>
    <t>Thailand</t>
  </si>
  <si>
    <t>Timor-Leste</t>
  </si>
  <si>
    <t>Togo</t>
  </si>
  <si>
    <t>Tonga</t>
  </si>
  <si>
    <t>Trinidad and Tobago</t>
  </si>
  <si>
    <t>Tunisia</t>
  </si>
  <si>
    <t>Uganda</t>
  </si>
  <si>
    <t>Ukraine</t>
  </si>
  <si>
    <t>United Arab Emirates</t>
  </si>
  <si>
    <t>United Kingdom</t>
  </si>
  <si>
    <t>United Republic of Tanzania</t>
  </si>
  <si>
    <t>United States of America</t>
  </si>
  <si>
    <t>Uruguay</t>
  </si>
  <si>
    <t>Uzbekistan</t>
  </si>
  <si>
    <t>Venezuela, Bolivarian Republic of</t>
  </si>
  <si>
    <t>Yemen</t>
  </si>
  <si>
    <t>Zambia</t>
  </si>
  <si>
    <t>Zimbabwe</t>
  </si>
  <si>
    <r>
      <t xml:space="preserve">Figures computed by WHO to ensure comparability; </t>
    </r>
    <r>
      <rPr>
        <sz val="10"/>
        <rFont val="Arial"/>
        <family val="0"/>
      </rPr>
      <t>they are not necessarily the official statistics of Member States, which may use alternative rigorous methods. See explanatory notes for sources and methods.</t>
    </r>
  </si>
  <si>
    <t>MERCURY INVENTORY FOR (INSERT COUNTRY NAME):</t>
  </si>
  <si>
    <t>electricification rate, %</t>
  </si>
  <si>
    <t>See Step5 cell F4</t>
  </si>
  <si>
    <t>Number of inhabitants 2010*3</t>
  </si>
  <si>
    <t>o</t>
  </si>
  <si>
    <t>Other non-OECD country</t>
  </si>
  <si>
    <t>Other OECD country</t>
  </si>
  <si>
    <t>Viet Nam*4</t>
  </si>
  <si>
    <t>OECD average of dental density</t>
  </si>
  <si>
    <t>Non-OECD 20% percentile</t>
  </si>
  <si>
    <t>*4: Dental personnel density assumed as average of Lao and Cambodia</t>
  </si>
  <si>
    <t>Montenegro*5</t>
  </si>
  <si>
    <t>For non-OECD countries with dental personnel density values below the 20% percentile for this group in the original data, the 20% percentile was used in calculations in order to eliminate errors of reporting.</t>
  </si>
  <si>
    <t>Dental personnel per 1000 inhabitants</t>
  </si>
  <si>
    <t>Non-OECD average of dental personnel density</t>
  </si>
  <si>
    <t>d</t>
  </si>
  <si>
    <t>o,d</t>
  </si>
  <si>
    <t>Population in 2010 (or as recent as available data allow; UNSD, 2012)</t>
  </si>
  <si>
    <t>For references, see the relevant sections in the Toolkit Reference report.</t>
  </si>
  <si>
    <t>Population (select country below to find population)</t>
  </si>
  <si>
    <t>How much of the waste is collected and treated under controlled conditions?</t>
  </si>
  <si>
    <t>Electrification rate *2</t>
  </si>
  <si>
    <t>Albania*8</t>
  </si>
  <si>
    <t>Andorra*7</t>
  </si>
  <si>
    <t>Antigua and Barbuda*8</t>
  </si>
  <si>
    <t>Australia*8</t>
  </si>
  <si>
    <t>Azerbaijan*8</t>
  </si>
  <si>
    <t>Bahamas*8</t>
  </si>
  <si>
    <t>Barbados*8</t>
  </si>
  <si>
    <t>Belarus*9</t>
  </si>
  <si>
    <t>Belize*8</t>
  </si>
  <si>
    <t>Bhutan*6</t>
  </si>
  <si>
    <t>Bosnia and Herzegovina*6</t>
  </si>
  <si>
    <t>Bulgaria*8</t>
  </si>
  <si>
    <t>Burundi*6</t>
  </si>
  <si>
    <t>Canada*9</t>
  </si>
  <si>
    <t>Cape Verde*6</t>
  </si>
  <si>
    <t>Central African Republic*6</t>
  </si>
  <si>
    <t>Chad*6</t>
  </si>
  <si>
    <t>Comoros*6</t>
  </si>
  <si>
    <t>Republic of the Congo</t>
  </si>
  <si>
    <t>Cook Islands*8</t>
  </si>
  <si>
    <t>Croatia*8</t>
  </si>
  <si>
    <t>Cyprus*9</t>
  </si>
  <si>
    <t>Czech Republic*8</t>
  </si>
  <si>
    <t>Djibouti*6</t>
  </si>
  <si>
    <t>Dominica*6</t>
  </si>
  <si>
    <t>Estonia*8</t>
  </si>
  <si>
    <t>Gambia*6</t>
  </si>
  <si>
    <t>Georgia*6</t>
  </si>
  <si>
    <t>Grenada*8</t>
  </si>
  <si>
    <t>Guinea*6</t>
  </si>
  <si>
    <t>Guinea-Bissau*6</t>
  </si>
  <si>
    <t>Guyana*6</t>
  </si>
  <si>
    <t>Hungary*8</t>
  </si>
  <si>
    <t>Japan*8</t>
  </si>
  <si>
    <t>Kazakhstan*9</t>
  </si>
  <si>
    <t>Latvia*8</t>
  </si>
  <si>
    <t>Liberia*6</t>
  </si>
  <si>
    <t>Lithuania*8</t>
  </si>
  <si>
    <t>Maldives*6</t>
  </si>
  <si>
    <t>Mali*6</t>
  </si>
  <si>
    <t>Marshall Islands*8</t>
  </si>
  <si>
    <t>Mauritania*8</t>
  </si>
  <si>
    <t>Mexico*8</t>
  </si>
  <si>
    <t>Micronesia, Federated States of*8</t>
  </si>
  <si>
    <t>Mongolia*8</t>
  </si>
  <si>
    <t>New Zealand*8</t>
  </si>
  <si>
    <t>Niger*8</t>
  </si>
  <si>
    <t>Niue*8</t>
  </si>
  <si>
    <t>Palau*8</t>
  </si>
  <si>
    <t>Papua New Guinea*6</t>
  </si>
  <si>
    <t>Poland*8</t>
  </si>
  <si>
    <t>Republic of Korea*8</t>
  </si>
  <si>
    <t>Republic of Moldova*6</t>
  </si>
  <si>
    <t>Russian Federation*8</t>
  </si>
  <si>
    <t>Rwanda*6</t>
  </si>
  <si>
    <t>Saint Vincent and the Grenadines*6</t>
  </si>
  <si>
    <t>San Marino*9</t>
  </si>
  <si>
    <t>Sao Tome and Principe*8</t>
  </si>
  <si>
    <t>Serbia*5*8</t>
  </si>
  <si>
    <t>Seychelles*8</t>
  </si>
  <si>
    <t>Sierra Leone*6</t>
  </si>
  <si>
    <t>Singapore*8</t>
  </si>
  <si>
    <t>Solomon Islands*6</t>
  </si>
  <si>
    <t>Somalia*8</t>
  </si>
  <si>
    <t>Suriname*8</t>
  </si>
  <si>
    <t>Tajikistan*8</t>
  </si>
  <si>
    <t>The former Yugoslav Republic of Macedonia*8</t>
  </si>
  <si>
    <t>Turkey*8</t>
  </si>
  <si>
    <t>Turkmenistan*8</t>
  </si>
  <si>
    <t>Tuvalu*8</t>
  </si>
  <si>
    <t>*1: Source: WHO: World health report 2006, Annex, Table 4: Global distribution of health workers in WHO Member States. Accessed June 2012</t>
  </si>
  <si>
    <t>http://www.who.int/whr/2006/annex/en/index.html</t>
  </si>
  <si>
    <t>*2: Percent of population with access to electricity. Data source: IEA, Electricity access Today – WEO-2011 new Electricity access Database (2009 data country-by-country), accessed June 2012. Except for a few countries; see notes *6, *8 and *9.</t>
  </si>
  <si>
    <t>http://www.worldenergyoutlook.org/resources/energydevelopment/accesstoelectricity/</t>
  </si>
  <si>
    <t>*3: Data source: UNSD Demographics Statistics, accessed Aug.2012. Population for countries in green letters are from the latest year available before 2010; in most cases from 2000-2009.</t>
  </si>
  <si>
    <t>http://data.un.org/Data.aspx?d=POP&amp;f=tableCode%3a1</t>
  </si>
  <si>
    <t>*5: Assumed as Serbia and Montenegro in 2002 (or 2007, see report)</t>
  </si>
  <si>
    <t>http://www.reeep.org/file_upload/296_tmpphpW16ncV.pdf</t>
  </si>
  <si>
    <t xml:space="preserve">*6 Data source for electrification rate: Datamarket.com, accessed Aug. 2012. Data compiled by World Bank staff from households surveys. </t>
  </si>
  <si>
    <t>http://datamarket.com/data/set/1459/household-electrification-rate-of-households#!display=line&amp;ds=1459!g6f=6.12.15.n.g</t>
  </si>
  <si>
    <t>*7 Electrification rate assumed as Spain, Italy and France.</t>
  </si>
  <si>
    <t>*8  Data source for electrification rate: reegle www.regel.info -&gt; Resources &amp; Services (mostly 2000 data)</t>
  </si>
  <si>
    <t>http://www.reegle.info/countries</t>
  </si>
  <si>
    <t>*9  Data source for electrification rate: The U.S. National geophysical data center: If no other data/estimations were available, this source was used. The data are based on areas with electrification, and not by population.</t>
  </si>
  <si>
    <t>http://www.ngdc.noaa.gov/dmsp/pubs/Elvidge_WINTD_20091022.pdf</t>
  </si>
  <si>
    <t>Dental personnel per 1000 inhabitants (adjusted)*1</t>
  </si>
  <si>
    <t>Dental personnel per 1000 inhabitants (original WHO data)</t>
  </si>
  <si>
    <t>Year for dental personnel data*1</t>
  </si>
  <si>
    <t>o=OECD countries/d= countries in EIA electrification list</t>
  </si>
  <si>
    <t>*10: Assumed = average of (mainland) China and Japan.</t>
  </si>
  <si>
    <t>Chinese Taipei/Taiwan*10</t>
  </si>
  <si>
    <t>*11: Electrification rate assumed as Gabon.</t>
  </si>
  <si>
    <t>Equatorial Guinea*11</t>
  </si>
  <si>
    <t>Kiribati*12</t>
  </si>
  <si>
    <t>*12: Electrification rate assumed as Micronesia, Federated States of.</t>
  </si>
  <si>
    <t>Ethiopia*8*13</t>
  </si>
  <si>
    <t>Non-OECD average, electrification rates</t>
  </si>
  <si>
    <t>1-Click here to select country</t>
  </si>
  <si>
    <t>Tanzania*6*13</t>
  </si>
  <si>
    <t>*13: Dental personnel density assumed as Kenya.</t>
  </si>
  <si>
    <t>Nauru*8*12</t>
  </si>
  <si>
    <t>Malawi*14</t>
  </si>
  <si>
    <t>*14: Dental personnel density assumed as Mozambique.</t>
  </si>
  <si>
    <t>Vanuatu*8*12</t>
  </si>
  <si>
    <t>IMPORTANT NOTE:</t>
  </si>
  <si>
    <r>
      <rPr>
        <b/>
        <sz val="10"/>
        <rFont val="Arial"/>
        <family val="2"/>
      </rPr>
      <t>Compulsory</t>
    </r>
    <r>
      <rPr>
        <sz val="10"/>
        <rFont val="Arial"/>
        <family val="2"/>
      </rPr>
      <t>: Click cell below and select country from list</t>
    </r>
  </si>
  <si>
    <t>Electrification rate, %  of population with access to electricity</t>
  </si>
  <si>
    <t>Enter calculated Hg releases in Kg Hg/y</t>
  </si>
  <si>
    <t>Enter calculated Hg input in Kg Hg/y</t>
  </si>
  <si>
    <t>Hg input</t>
  </si>
  <si>
    <t>If you have calculated inventory results for selected mercury source categories in Inventory Level 2, the results can be entered here to be included in summary result tables (see Inventory Level 1 Guideline for advice).</t>
  </si>
  <si>
    <t>Source Category no.</t>
  </si>
  <si>
    <t>Insert notes (document also in detail in inventory report):</t>
  </si>
  <si>
    <t>Important note: This sheet is to be used ONLY for inclusion of inventory results calculated in Inventory Level 2, and adequate documentation is required</t>
  </si>
  <si>
    <t>(any insertion here will disrupt summary presentation of IL1 results for same source categories).</t>
  </si>
  <si>
    <t>INVENTORY LEVEL 1 (IL1) - INSERTION OF INVENTORY LEVEL2 (IL2) RESULTS, IF ANY</t>
  </si>
  <si>
    <t>Incineration and open burning of medical waste</t>
  </si>
  <si>
    <t>Incineration and open burning of medical waste*1</t>
  </si>
  <si>
    <t>Primary ferrous metal production (pig iron production)</t>
  </si>
  <si>
    <t>Aggregates</t>
  </si>
  <si>
    <t>UNIT CONVERSION</t>
  </si>
  <si>
    <t>As a help for the user, the Toolkit provides some examples of convertion rates below with a possibility to calculate conversions here.</t>
  </si>
  <si>
    <t>Source type</t>
  </si>
  <si>
    <t>t zinc produced/y</t>
  </si>
  <si>
    <t>Unit for alternative activity rate (must be exactly this one)</t>
  </si>
  <si>
    <t>Unit of Toolkit activity rate</t>
  </si>
  <si>
    <t>Conversion factor used</t>
  </si>
  <si>
    <t>Enter alternative activity rate data</t>
  </si>
  <si>
    <t>t copper produced/y</t>
  </si>
  <si>
    <t>t lead produced/y</t>
  </si>
  <si>
    <t>t gold produced/y</t>
  </si>
  <si>
    <t>t raw aluminum metal produced/y</t>
  </si>
  <si>
    <t>TJ (Terajoule) gas used/y</t>
  </si>
  <si>
    <t>TJ (Terajoule) gas produced/y</t>
  </si>
  <si>
    <t>Nm3/TJ</t>
  </si>
  <si>
    <t>Nm3 gas used/y</t>
  </si>
  <si>
    <t>Nm3 gas produced/y</t>
  </si>
  <si>
    <t>t bauxit processed/t aluminium metal produced</t>
  </si>
  <si>
    <t>Calculated Toolkit activity rate (copy to relevant cell)</t>
  </si>
  <si>
    <t>References and remarks</t>
  </si>
  <si>
    <t>Unit for conversion factor</t>
  </si>
  <si>
    <t>Is more than 2/3 (two thirds; 67%) of the general waste collected and deposited on lined landfills or incinerated with pollution abatement?</t>
  </si>
  <si>
    <t>More than 2/3 (two thirds; 67%) of the general waste is collected and deposited on lined landfills or incinerated with pollution abatement</t>
  </si>
  <si>
    <t>Less than 2/3 (two thirds; 67%) of the general waste is collected and deposited on lined landfills or incinerated with pollution abatement</t>
  </si>
  <si>
    <t>Application, use and disposal of dental amalgam fillings</t>
  </si>
  <si>
    <t>which are not sold in the same country or in the same year.</t>
  </si>
  <si>
    <r>
      <t xml:space="preserve"> informal dumping is included in the total for mercury </t>
    </r>
    <r>
      <rPr>
        <u val="single"/>
        <sz val="10"/>
        <rFont val="Arial"/>
        <family val="2"/>
      </rPr>
      <t>inputs.</t>
    </r>
    <r>
      <rPr>
        <sz val="10"/>
        <rFont val="Arial"/>
        <family val="0"/>
      </rPr>
      <t xml:space="preserve"> These 10% represent approximately the mercury input to waste from materials which were not quantified </t>
    </r>
  </si>
  <si>
    <t>individually in Inventory Level 1 of this Toolkit. See Appendix 1 to the Inventory Level1 Guideline for more explanation.</t>
  </si>
  <si>
    <t>TOTAL of quantified releases *1*2*3*4</t>
  </si>
  <si>
    <t>Production of products with mercury content*4</t>
  </si>
  <si>
    <t>TOTAL of quantified inputs*1*2*3</t>
  </si>
  <si>
    <t>TOTAL of quantified releases*1*2</t>
  </si>
  <si>
    <t>Production of products with mercury content*1</t>
  </si>
  <si>
    <t>Waste incineration and open waste burning*2</t>
  </si>
  <si>
    <t>Informal dumping of general waste *2*3</t>
  </si>
  <si>
    <t>Waste water system/treatment *4</t>
  </si>
  <si>
    <t>TOTALS (rounded) *1*2*3*4*5</t>
  </si>
  <si>
    <t>Percent of total releases *3*4</t>
  </si>
  <si>
    <t>*2: To avoid double counting of mercury inputs from waste and products in the input TOTAL, only 10% of the mercury input to waste incineration, waste deposition and</t>
  </si>
  <si>
    <t xml:space="preserve">*3: The estimated quantities include mercury in products which has also been accounted for under each product category. </t>
  </si>
  <si>
    <t xml:space="preserve">*4: The estimated input and release to water include mercury amounts which have also been accounted for under each source category. </t>
  </si>
  <si>
    <t>*5: Total inputs do not necessarily equal total outputs due to corrections for double counting (see notes*1-*3) and because some mercury follows products/metal mercury</t>
  </si>
  <si>
    <t xml:space="preserve"> are included in the input TOTAL.</t>
  </si>
  <si>
    <r>
      <t xml:space="preserve">*1 To avoid double counting of mercury in products produced domestically and sold on the domestic market (including oil and gas), only the part of mercury inputs </t>
    </r>
    <r>
      <rPr>
        <i/>
        <sz val="10"/>
        <rFont val="Arial"/>
        <family val="2"/>
      </rPr>
      <t>released</t>
    </r>
    <r>
      <rPr>
        <sz val="10"/>
        <rFont val="Arial"/>
        <family val="2"/>
      </rPr>
      <t xml:space="preserve"> from production</t>
    </r>
  </si>
  <si>
    <t>Waste deposition*2</t>
  </si>
  <si>
    <t>Total releases *3*4*5</t>
  </si>
  <si>
    <r>
      <t xml:space="preserve">*4 To avoid double counting of mercury in products produced domestically and sold on the domestic market (inlucing oil and gas), only the part of mercury inputs </t>
    </r>
    <r>
      <rPr>
        <i/>
        <sz val="10"/>
        <rFont val="Arial"/>
        <family val="2"/>
      </rPr>
      <t>released</t>
    </r>
    <r>
      <rPr>
        <sz val="10"/>
        <rFont val="Arial"/>
        <family val="2"/>
      </rPr>
      <t xml:space="preserve"> from production are included in the input TOTAL.</t>
    </r>
  </si>
  <si>
    <t>1 - 66</t>
  </si>
  <si>
    <t>[New output scenario in IL2 for power plants with good filters not introduced here, as it is not used IL1 which focus on dev. world with no filters here]</t>
  </si>
  <si>
    <t>0.1</t>
  </si>
  <si>
    <t>5 - 130</t>
  </si>
  <si>
    <t>Smelters with wet gas cleaning and acid plant</t>
  </si>
  <si>
    <t>1-100</t>
  </si>
  <si>
    <t>2-60</t>
  </si>
  <si>
    <t>1 - 30</t>
  </si>
  <si>
    <t>/without  co-incineration of waste</t>
  </si>
  <si>
    <t>/with co-incineration of waste</t>
  </si>
  <si>
    <t>0.004 – 0.5</t>
  </si>
  <si>
    <t>0.06 – 1</t>
  </si>
  <si>
    <t>Mixed scenario in IL1: 50% no filter/50% simple filter with dust recycling</t>
  </si>
  <si>
    <t>10 - 200</t>
  </si>
  <si>
    <t>http://www.iea.org/stats/docs/statistics_manual.pdf, p182</t>
  </si>
  <si>
    <t>t concentrate used/t zinc produced</t>
  </si>
  <si>
    <t>t concentrate used/t copper produced</t>
  </si>
  <si>
    <t>t concentrate used/t lead produced</t>
  </si>
  <si>
    <t>t ore used/t gold produced</t>
  </si>
  <si>
    <t>UNEP/AMAP (2012)</t>
  </si>
  <si>
    <t>kg/item</t>
  </si>
  <si>
    <t>Rough assumption for average based on trade statistics</t>
  </si>
  <si>
    <t>Roughly estimated avereage based on product data from Osram.com</t>
  </si>
  <si>
    <t>Roughly estimated avereage based on various product data on the Internet</t>
  </si>
  <si>
    <t>kg</t>
  </si>
  <si>
    <t>This list is not complete, and conversion rates for other source types needs to be found elsewhere, for example on the Internet.</t>
  </si>
  <si>
    <t>These conversion rates a highly approximate, as the involved parameters may vary substantially.</t>
  </si>
  <si>
    <t>1.3</t>
  </si>
  <si>
    <t>Extraction from whole ore (no retort use)</t>
  </si>
  <si>
    <t>Extraction from concentrate  (no retort use)</t>
  </si>
  <si>
    <t>Extraction from concentrate and with use of retorts and mercury recycling</t>
  </si>
  <si>
    <t>/Combustion of coal mix scenariao (special for IL1): 1/3 bituminous, 1/3 sub-bituminous and 1/3 lignite</t>
  </si>
  <si>
    <t>/Combustion of coal mix scenario (special for IL1): 1/3 bituminous, 1/3 sub-bituminous and 1/3 lignite, all assumed with only particulate matter simple APC: ESP/PS/CYC</t>
  </si>
  <si>
    <t>s</t>
  </si>
  <si>
    <t>Universal maximum</t>
  </si>
  <si>
    <t>Country-specific threshold</t>
  </si>
  <si>
    <t>(threshold times population)</t>
  </si>
  <si>
    <t>Hg input, kg/y</t>
  </si>
  <si>
    <t>Safety factor</t>
  </si>
  <si>
    <t>(general:)</t>
  </si>
  <si>
    <t xml:space="preserve">SKIP - -NO DATA </t>
  </si>
  <si>
    <t>SKIP -no need</t>
  </si>
  <si>
    <t>(custom factors in red based on expert judgement)</t>
  </si>
  <si>
    <t>Resulting generic threshold/per capita</t>
  </si>
  <si>
    <t>Hg input, kg/(capita*y)</t>
  </si>
  <si>
    <t>User input</t>
  </si>
  <si>
    <t>User input within bounds?</t>
  </si>
  <si>
    <t>UNEP's Toolkit for identification and quantification of mercury releases - Inventory Level 1 Calculation Spreadsheet</t>
  </si>
  <si>
    <t>Notes: See Appendix 1 to Inventory Level 1 Guideline on background for numbers.</t>
  </si>
  <si>
    <t>Note also: Worksheets and workbook are protected with password to avoid un-intentional damages to calculations.</t>
  </si>
  <si>
    <r>
      <rPr>
        <b/>
        <sz val="10"/>
        <rFont val="Arial"/>
        <family val="2"/>
      </rPr>
      <t>Non-country inventories</t>
    </r>
    <r>
      <rPr>
        <sz val="10"/>
        <rFont val="Arial"/>
        <family val="2"/>
      </rPr>
      <t>: In case you make this inventory for a non-country territory (a city, a region, etc.), you should select a country relevant to the conditions prevailing in the territory,</t>
    </r>
  </si>
  <si>
    <t>as this adjusts the calculated estimates according to the conditions. You need however ALSO to enter the population of the territory MANUALLY in cell B6 above (overwrite the automatically stated number).</t>
  </si>
  <si>
    <t>Note: If you have inserted results from Inventory Level 2 in the sheet "Insert IL2 results", the calculations shown above for the same source category are overruled by the IL2 results, and the IL2 results are shown in all summary and chart sheets,</t>
  </si>
  <si>
    <t>instead of the results shown above for the same source category.</t>
  </si>
  <si>
    <t>Note that any data and calculations inserted in Steps 1-7 for the same source categories are overruled, by the IL2 results inserted in the current sheet, in all summary and chart sheets.</t>
  </si>
  <si>
    <t>Oil product combusted, t/y</t>
  </si>
  <si>
    <t>Biomass combusted, t/y</t>
  </si>
  <si>
    <t>Charcoal combusted, t/y</t>
  </si>
  <si>
    <t>Crude oil produced, t/y</t>
  </si>
  <si>
    <t>Crude oil refined, t/y</t>
  </si>
  <si>
    <t>Gas produced, Nm³/y</t>
  </si>
  <si>
    <r>
      <t xml:space="preserve">Coal combusted, </t>
    </r>
    <r>
      <rPr>
        <sz val="10"/>
        <rFont val="Arial"/>
        <family val="2"/>
      </rPr>
      <t>t/y</t>
    </r>
    <r>
      <rPr>
        <sz val="8"/>
        <rFont val="Times New Roman"/>
        <family val="1"/>
      </rPr>
      <t> </t>
    </r>
  </si>
  <si>
    <t>Coal used, t/y</t>
  </si>
  <si>
    <t>Gas used, Nm³/y</t>
  </si>
  <si>
    <t>Mercury produced, t/y</t>
  </si>
  <si>
    <t>Concentrate used, t/y</t>
  </si>
  <si>
    <t>Gold ore used, t/y</t>
  </si>
  <si>
    <t>Bauxit processed, t/y</t>
  </si>
  <si>
    <t>Pig iron produced, t/y</t>
  </si>
  <si>
    <t>Gold produced, kg/y</t>
  </si>
  <si>
    <t>Cement produced, t/y</t>
  </si>
  <si>
    <t>Biomass used for production, t/y</t>
  </si>
  <si>
    <r>
      <t>Cl</t>
    </r>
    <r>
      <rPr>
        <vertAlign val="subscript"/>
        <sz val="10"/>
        <rFont val="Arial"/>
        <family val="2"/>
      </rPr>
      <t>2</t>
    </r>
    <r>
      <rPr>
        <sz val="10"/>
        <rFont val="Arial"/>
        <family val="2"/>
      </rPr>
      <t xml:space="preserve"> produced, t/y </t>
    </r>
  </si>
  <si>
    <t xml:space="preserve">VCM produced, t/y </t>
  </si>
  <si>
    <t>Acetaldehyde produced, t/y</t>
  </si>
  <si>
    <t>Mercury used for production, kg/y</t>
  </si>
  <si>
    <t xml:space="preserve">Mercury produced, kg/y </t>
  </si>
  <si>
    <t>Number of vehicles recycled/y</t>
  </si>
  <si>
    <t xml:space="preserve">Waste incinerated, t/y </t>
  </si>
  <si>
    <t>Waste incinerated, t/y</t>
  </si>
  <si>
    <t>Waste landfilled, t/y</t>
  </si>
  <si>
    <t>Waste dumped, t/y</t>
  </si>
  <si>
    <r>
      <t>Waste water, m</t>
    </r>
    <r>
      <rPr>
        <vertAlign val="superscript"/>
        <sz val="10"/>
        <rFont val="Arial"/>
        <family val="2"/>
      </rPr>
      <t>3</t>
    </r>
    <r>
      <rPr>
        <sz val="10"/>
        <rFont val="Arial"/>
        <family val="2"/>
      </rPr>
      <t xml:space="preserve">/y </t>
    </r>
  </si>
  <si>
    <t xml:space="preserve">Waste burned, t/y </t>
  </si>
  <si>
    <t>Number of inhabitants</t>
  </si>
  <si>
    <t>Number of dental personnel per 1000 inhab.</t>
  </si>
  <si>
    <t>Items sold/y</t>
  </si>
  <si>
    <t>Batteries sold, t/y</t>
  </si>
  <si>
    <t>Electricification rate, %</t>
  </si>
  <si>
    <t>Paint sold, t/y</t>
  </si>
  <si>
    <t>Cream or soap sold, t/y</t>
  </si>
  <si>
    <t>Corpses cremated/y</t>
  </si>
  <si>
    <t>Corpses buried/y</t>
  </si>
  <si>
    <t>The designations employed and the presentation of the material in this publication do not imply the expression of any opinion whatsoever on the part of the United Nations Environment Programme concerning the legal status of any country, territory, city or area or of its authorities, or concerning delimitation of its frontiers or boundaries. Moreover, the views expressed do not necessarily represent the decision or the stated policy of the United Nations Environment Programme, nor does citing of trade names or commercial processes constitute endorsement.</t>
  </si>
  <si>
    <t>Source presence (y/n/?) and activity rate data must always be entered in the appropriate Step page in this spreadsheet, also when Inventory Level 2 results are introduced.</t>
  </si>
  <si>
    <t>April, 2012</t>
  </si>
  <si>
    <t xml:space="preserve">Hg thermometers (medical, air, lab, industrial etc.) </t>
  </si>
  <si>
    <t xml:space="preserve">Electrical switches and relays with mercury </t>
  </si>
  <si>
    <t xml:space="preserve">Light sources with mercury (fluorescent, compact, others: see guideline) </t>
  </si>
  <si>
    <t xml:space="preserve">Batteries with mercury </t>
  </si>
  <si>
    <t xml:space="preserve">Manometers and gauges with mercury </t>
  </si>
  <si>
    <t xml:space="preserve">Biocides and pesticides with mercury </t>
  </si>
  <si>
    <t xml:space="preserve">Paints with mercury </t>
  </si>
  <si>
    <t xml:space="preserve">Skin lightening creams and soaps with mercury chemicals </t>
  </si>
  <si>
    <t>**</t>
  </si>
  <si>
    <t>BACKGROUND DATA NEEDED FOR DEFAULT CALCULATIONS AND RANGE TEST</t>
  </si>
  <si>
    <t>CREMATORIA AND CEMETERIES</t>
  </si>
  <si>
    <t>ONLY TO BE USED IF  ACTIVITY RATE DATA CANNOT BE OBTAINED IN THE PRESCRIBED UNIT (AND IF DOCUMENTED COUNTRY SPECIFIC CONVERSION FACTORS ARE NOT AVAILABLE).</t>
  </si>
  <si>
    <t>STANDARD CHARTS TO BE USED IN INVENTORY REPORTING, SEE DEEP BELOW</t>
  </si>
</sst>
</file>

<file path=xl/styles.xml><?xml version="1.0" encoding="utf-8"?>
<styleSheet xmlns="http://schemas.openxmlformats.org/spreadsheetml/2006/main">
  <numFmts count="3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
    <numFmt numFmtId="181" formatCode="#,##0.0"/>
    <numFmt numFmtId="182" formatCode="_(* #,##0.000_);_(* \(#,##0.000\);_(* &quot;-&quot;??_);_(@_)"/>
    <numFmt numFmtId="183" formatCode="_(* #,##0.0000_);_(* \(#,##0.0000\);_(* &quot;-&quot;??_);_(@_)"/>
    <numFmt numFmtId="184" formatCode="_(* #,##0.0_);_(* \(#,##0.0\);_(* &quot;-&quot;??_);_(@_)"/>
    <numFmt numFmtId="185" formatCode="_(* #,##0_);_(* \(#,##0\);_(* &quot;-&quot;??_);_(@_)"/>
    <numFmt numFmtId="186" formatCode="0.0000"/>
    <numFmt numFmtId="187" formatCode="0.0000000000"/>
    <numFmt numFmtId="188" formatCode="0.000000000"/>
    <numFmt numFmtId="189" formatCode="0.00000000"/>
    <numFmt numFmtId="190" formatCode="0.0000000"/>
    <numFmt numFmtId="191" formatCode="0.000000"/>
    <numFmt numFmtId="192" formatCode="0.00000"/>
    <numFmt numFmtId="193" formatCode="_(* #,##0.00000_);_(* \(#,##0.00000\);_(* &quot;-&quot;??_);_(@_)"/>
    <numFmt numFmtId="194" formatCode="_(* #,##0.000000_);_(* \(#,##0.000000\);_(* &quot;-&quot;??_);_(@_)"/>
  </numFmts>
  <fonts count="86">
    <font>
      <sz val="10"/>
      <name val="Arial"/>
      <family val="0"/>
    </font>
    <font>
      <sz val="8"/>
      <name val="Arial"/>
      <family val="2"/>
    </font>
    <font>
      <b/>
      <sz val="10"/>
      <name val="Arial"/>
      <family val="2"/>
    </font>
    <font>
      <b/>
      <sz val="14"/>
      <name val="Arial"/>
      <family val="2"/>
    </font>
    <font>
      <b/>
      <u val="single"/>
      <sz val="10"/>
      <name val="Arial"/>
      <family val="2"/>
    </font>
    <font>
      <sz val="10"/>
      <name val="Times New Roman"/>
      <family val="1"/>
    </font>
    <font>
      <b/>
      <sz val="10"/>
      <color indexed="10"/>
      <name val="Arial"/>
      <family val="2"/>
    </font>
    <font>
      <sz val="10"/>
      <color indexed="11"/>
      <name val="Arial"/>
      <family val="2"/>
    </font>
    <font>
      <b/>
      <sz val="10"/>
      <name val="Times New Roman"/>
      <family val="1"/>
    </font>
    <font>
      <i/>
      <sz val="10"/>
      <name val="Times New Roman"/>
      <family val="1"/>
    </font>
    <font>
      <b/>
      <sz val="11.5"/>
      <name val="Times New Roman"/>
      <family val="1"/>
    </font>
    <font>
      <b/>
      <sz val="11"/>
      <name val="Times New Roman"/>
      <family val="1"/>
    </font>
    <font>
      <b/>
      <sz val="11"/>
      <color indexed="10"/>
      <name val="Arial"/>
      <family val="2"/>
    </font>
    <font>
      <sz val="10"/>
      <color indexed="43"/>
      <name val="Arial"/>
      <family val="2"/>
    </font>
    <font>
      <sz val="10"/>
      <color indexed="10"/>
      <name val="Arial"/>
      <family val="2"/>
    </font>
    <font>
      <u val="single"/>
      <sz val="8.5"/>
      <color indexed="12"/>
      <name val="Arial"/>
      <family val="2"/>
    </font>
    <font>
      <u val="single"/>
      <sz val="8.5"/>
      <color indexed="36"/>
      <name val="Arial"/>
      <family val="2"/>
    </font>
    <font>
      <b/>
      <sz val="12"/>
      <name val="Arial"/>
      <family val="2"/>
    </font>
    <font>
      <b/>
      <sz val="11"/>
      <name val="Arial"/>
      <family val="2"/>
    </font>
    <font>
      <b/>
      <sz val="14"/>
      <color indexed="10"/>
      <name val="Arial"/>
      <family val="2"/>
    </font>
    <font>
      <i/>
      <sz val="10"/>
      <name val="Arial"/>
      <family val="2"/>
    </font>
    <font>
      <b/>
      <i/>
      <sz val="10"/>
      <name val="Arial"/>
      <family val="2"/>
    </font>
    <font>
      <u val="single"/>
      <sz val="10"/>
      <name val="Arial"/>
      <family val="2"/>
    </font>
    <font>
      <sz val="8"/>
      <name val="Tahoma"/>
      <family val="2"/>
    </font>
    <font>
      <b/>
      <sz val="8"/>
      <name val="Tahoma"/>
      <family val="2"/>
    </font>
    <font>
      <sz val="11"/>
      <name val="Calibri"/>
      <family val="2"/>
    </font>
    <font>
      <sz val="10"/>
      <color indexed="8"/>
      <name val="Calibri"/>
      <family val="2"/>
    </font>
    <font>
      <sz val="8"/>
      <name val="Times New Roman"/>
      <family val="1"/>
    </font>
    <font>
      <vertAlign val="sub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Times New Roman"/>
      <family val="1"/>
    </font>
    <font>
      <b/>
      <sz val="10"/>
      <color indexed="60"/>
      <name val="Arial"/>
      <family val="2"/>
    </font>
    <font>
      <sz val="10"/>
      <color indexed="60"/>
      <name val="Arial"/>
      <family val="2"/>
    </font>
    <font>
      <b/>
      <sz val="10"/>
      <color indexed="10"/>
      <name val="Times New Roman"/>
      <family val="1"/>
    </font>
    <font>
      <sz val="10"/>
      <color indexed="63"/>
      <name val="Inherit"/>
      <family val="0"/>
    </font>
    <font>
      <sz val="10"/>
      <color indexed="17"/>
      <name val="Arial"/>
      <family val="2"/>
    </font>
    <font>
      <sz val="8"/>
      <color indexed="8"/>
      <name val="Verdana"/>
      <family val="2"/>
    </font>
    <font>
      <i/>
      <sz val="8"/>
      <color indexed="8"/>
      <name val="Verdana"/>
      <family val="2"/>
    </font>
    <font>
      <u val="single"/>
      <sz val="8"/>
      <color indexed="8"/>
      <name val="Verdana"/>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10"/>
      <color rgb="FFC00000"/>
      <name val="Times New Roman"/>
      <family val="1"/>
    </font>
    <font>
      <b/>
      <sz val="10"/>
      <color rgb="FFC00000"/>
      <name val="Arial"/>
      <family val="2"/>
    </font>
    <font>
      <sz val="10"/>
      <color rgb="FFC00000"/>
      <name val="Arial"/>
      <family val="2"/>
    </font>
    <font>
      <b/>
      <sz val="10"/>
      <color rgb="FFFF0000"/>
      <name val="Times New Roman"/>
      <family val="1"/>
    </font>
    <font>
      <sz val="10"/>
      <color rgb="FF222222"/>
      <name val="Inherit"/>
      <family val="0"/>
    </font>
    <font>
      <sz val="10"/>
      <color rgb="FF00B050"/>
      <name val="Arial"/>
      <family val="2"/>
    </font>
    <font>
      <sz val="8"/>
      <color rgb="FF000000"/>
      <name val="Verdana"/>
      <family val="2"/>
    </font>
    <font>
      <i/>
      <sz val="8"/>
      <color rgb="FF000000"/>
      <name val="Verdana"/>
      <family val="2"/>
    </font>
    <font>
      <u val="single"/>
      <sz val="8"/>
      <color rgb="FF000000"/>
      <name val="Verdana"/>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CFFFF"/>
        <bgColor indexed="64"/>
      </patternFill>
    </fill>
    <fill>
      <patternFill patternType="solid">
        <fgColor rgb="FF92D050"/>
        <bgColor indexed="64"/>
      </patternFill>
    </fill>
    <fill>
      <patternFill patternType="solid">
        <fgColor rgb="FFFFFF66"/>
        <bgColor indexed="64"/>
      </patternFill>
    </fill>
    <fill>
      <patternFill patternType="solid">
        <fgColor rgb="FFFF0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style="thin"/>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style="medium"/>
      <right style="thin"/>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style="medium"/>
      <right style="thin"/>
      <top>
        <color indexed="63"/>
      </top>
      <bottom style="medium"/>
    </border>
    <border>
      <left style="medium"/>
      <right style="medium"/>
      <top>
        <color indexed="63"/>
      </top>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05">
    <xf numFmtId="0" fontId="0" fillId="0" borderId="0" xfId="0" applyAlignment="1">
      <alignment/>
    </xf>
    <xf numFmtId="0" fontId="3" fillId="0" borderId="0" xfId="0" applyFont="1" applyAlignment="1">
      <alignment/>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2" fillId="0" borderId="0" xfId="0" applyFont="1" applyAlignment="1">
      <alignment/>
    </xf>
    <xf numFmtId="0" fontId="0" fillId="0" borderId="0" xfId="0" applyAlignment="1" quotePrefix="1">
      <alignment/>
    </xf>
    <xf numFmtId="0" fontId="2" fillId="0" borderId="0" xfId="0" applyFont="1" applyFill="1" applyAlignment="1">
      <alignment/>
    </xf>
    <xf numFmtId="0" fontId="0" fillId="0" borderId="0" xfId="0" applyFont="1" applyAlignment="1">
      <alignment/>
    </xf>
    <xf numFmtId="0" fontId="0" fillId="0" borderId="0" xfId="0" applyAlignment="1">
      <alignment wrapText="1"/>
    </xf>
    <xf numFmtId="0" fontId="6" fillId="34" borderId="0" xfId="0" applyFont="1" applyFill="1" applyAlignment="1">
      <alignment/>
    </xf>
    <xf numFmtId="0" fontId="0" fillId="0" borderId="0" xfId="0" applyFill="1" applyAlignment="1" quotePrefix="1">
      <alignment/>
    </xf>
    <xf numFmtId="0" fontId="2" fillId="0" borderId="0" xfId="0" applyFont="1" applyAlignment="1">
      <alignment wrapText="1"/>
    </xf>
    <xf numFmtId="0" fontId="0" fillId="0" borderId="10" xfId="0" applyBorder="1" applyAlignment="1">
      <alignment/>
    </xf>
    <xf numFmtId="0" fontId="2" fillId="0" borderId="10" xfId="0" applyFont="1" applyBorder="1" applyAlignment="1">
      <alignment/>
    </xf>
    <xf numFmtId="0" fontId="5" fillId="0" borderId="10" xfId="0" applyFont="1" applyBorder="1" applyAlignment="1">
      <alignment wrapText="1"/>
    </xf>
    <xf numFmtId="0" fontId="2" fillId="0" borderId="10" xfId="0" applyFont="1" applyBorder="1" applyAlignment="1" quotePrefix="1">
      <alignment/>
    </xf>
    <xf numFmtId="0" fontId="5" fillId="0" borderId="0" xfId="0" applyFont="1" applyFill="1" applyBorder="1" applyAlignment="1">
      <alignment vertical="top" wrapText="1"/>
    </xf>
    <xf numFmtId="17" fontId="0" fillId="0" borderId="0" xfId="0" applyNumberFormat="1" applyAlignment="1" quotePrefix="1">
      <alignment/>
    </xf>
    <xf numFmtId="0" fontId="7" fillId="0" borderId="0" xfId="0" applyFont="1" applyFill="1" applyAlignment="1">
      <alignment/>
    </xf>
    <xf numFmtId="3" fontId="7" fillId="0" borderId="0" xfId="0" applyNumberFormat="1" applyFont="1" applyFill="1" applyAlignment="1">
      <alignment/>
    </xf>
    <xf numFmtId="3" fontId="0" fillId="0" borderId="0" xfId="0" applyNumberFormat="1" applyFill="1" applyAlignment="1">
      <alignment/>
    </xf>
    <xf numFmtId="4" fontId="0" fillId="0" borderId="0" xfId="0" applyNumberFormat="1" applyFill="1" applyAlignment="1">
      <alignment/>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top" wrapText="1"/>
    </xf>
    <xf numFmtId="4" fontId="6" fillId="0" borderId="0" xfId="0" applyNumberFormat="1" applyFont="1" applyFill="1" applyAlignment="1">
      <alignment/>
    </xf>
    <xf numFmtId="0" fontId="2" fillId="0" borderId="0" xfId="0" applyFont="1" applyFill="1" applyAlignment="1">
      <alignment wrapText="1"/>
    </xf>
    <xf numFmtId="0" fontId="0" fillId="0" borderId="0" xfId="0" applyNumberFormat="1" applyAlignment="1" quotePrefix="1">
      <alignment/>
    </xf>
    <xf numFmtId="0" fontId="0" fillId="0" borderId="0" xfId="0" applyFill="1" applyBorder="1" applyAlignment="1">
      <alignment/>
    </xf>
    <xf numFmtId="0" fontId="5"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quotePrefix="1">
      <alignment/>
    </xf>
    <xf numFmtId="0" fontId="2" fillId="0" borderId="10" xfId="0" applyFont="1" applyBorder="1" applyAlignment="1">
      <alignment wrapText="1"/>
    </xf>
    <xf numFmtId="0" fontId="0" fillId="0" borderId="10" xfId="0" applyBorder="1" applyAlignment="1">
      <alignment wrapText="1"/>
    </xf>
    <xf numFmtId="0" fontId="2" fillId="0" borderId="10" xfId="0" applyFont="1" applyBorder="1" applyAlignment="1" quotePrefix="1">
      <alignment wrapText="1"/>
    </xf>
    <xf numFmtId="0" fontId="5" fillId="0" borderId="0" xfId="0" applyFont="1" applyBorder="1" applyAlignment="1">
      <alignment wrapText="1"/>
    </xf>
    <xf numFmtId="0" fontId="0" fillId="0" borderId="0" xfId="0" applyFont="1" applyFill="1" applyAlignment="1">
      <alignment/>
    </xf>
    <xf numFmtId="0" fontId="5" fillId="0" borderId="0" xfId="0" applyFont="1" applyBorder="1" applyAlignment="1">
      <alignment horizontal="center" wrapText="1"/>
    </xf>
    <xf numFmtId="0" fontId="5" fillId="0" borderId="10" xfId="0" applyFont="1" applyBorder="1" applyAlignment="1" quotePrefix="1">
      <alignment wrapText="1"/>
    </xf>
    <xf numFmtId="0" fontId="8" fillId="0" borderId="10" xfId="0" applyFont="1" applyBorder="1" applyAlignment="1">
      <alignment wrapText="1"/>
    </xf>
    <xf numFmtId="0" fontId="2" fillId="0" borderId="0" xfId="0" applyFont="1" applyFill="1" applyAlignment="1" quotePrefix="1">
      <alignment/>
    </xf>
    <xf numFmtId="17" fontId="0" fillId="0" borderId="0" xfId="0" applyNumberFormat="1" applyFill="1" applyAlignment="1" quotePrefix="1">
      <alignment/>
    </xf>
    <xf numFmtId="0" fontId="5" fillId="0" borderId="0" xfId="0" applyFont="1" applyBorder="1" applyAlignment="1">
      <alignment/>
    </xf>
    <xf numFmtId="0" fontId="0" fillId="0" borderId="0" xfId="0" applyAlignment="1" quotePrefix="1">
      <alignment horizontal="center"/>
    </xf>
    <xf numFmtId="0" fontId="0" fillId="0" borderId="0" xfId="0" applyAlignment="1">
      <alignment horizontal="center"/>
    </xf>
    <xf numFmtId="0" fontId="0" fillId="0" borderId="0" xfId="0" applyAlignment="1" quotePrefix="1">
      <alignment horizontal="left"/>
    </xf>
    <xf numFmtId="0" fontId="0" fillId="0" borderId="0" xfId="0" applyAlignment="1" quotePrefix="1">
      <alignment horizontal="left" wrapText="1"/>
    </xf>
    <xf numFmtId="0" fontId="0" fillId="0" borderId="0" xfId="0" applyFill="1" applyAlignment="1" quotePrefix="1">
      <alignment horizontal="center"/>
    </xf>
    <xf numFmtId="0" fontId="0" fillId="0" borderId="0" xfId="0" applyBorder="1" applyAlignment="1">
      <alignment/>
    </xf>
    <xf numFmtId="0" fontId="0" fillId="33" borderId="0" xfId="0" applyFill="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alignment wrapText="1"/>
    </xf>
    <xf numFmtId="0" fontId="12" fillId="0" borderId="0" xfId="0" applyFont="1" applyAlignment="1">
      <alignment/>
    </xf>
    <xf numFmtId="0" fontId="0" fillId="0" borderId="11" xfId="0" applyBorder="1" applyAlignment="1">
      <alignment/>
    </xf>
    <xf numFmtId="0" fontId="2" fillId="34" borderId="12" xfId="0" applyFont="1" applyFill="1" applyBorder="1" applyAlignment="1">
      <alignment/>
    </xf>
    <xf numFmtId="0" fontId="2" fillId="34" borderId="12" xfId="0" applyFont="1" applyFill="1" applyBorder="1" applyAlignment="1">
      <alignment wrapText="1"/>
    </xf>
    <xf numFmtId="0" fontId="0" fillId="34" borderId="12" xfId="0" applyFill="1" applyBorder="1" applyAlignment="1">
      <alignment/>
    </xf>
    <xf numFmtId="0" fontId="2" fillId="0" borderId="10" xfId="0" applyFont="1" applyFill="1" applyBorder="1" applyAlignment="1" quotePrefix="1">
      <alignment/>
    </xf>
    <xf numFmtId="0" fontId="5" fillId="0" borderId="0" xfId="0" applyFont="1" applyFill="1" applyBorder="1" applyAlignment="1">
      <alignment horizontal="center" wrapText="1"/>
    </xf>
    <xf numFmtId="0" fontId="5" fillId="0" borderId="0" xfId="0" applyFont="1" applyFill="1" applyBorder="1" applyAlignment="1">
      <alignment/>
    </xf>
    <xf numFmtId="0" fontId="5" fillId="0" borderId="10" xfId="0" applyFont="1" applyFill="1" applyBorder="1" applyAlignment="1">
      <alignment wrapText="1"/>
    </xf>
    <xf numFmtId="0" fontId="0" fillId="0" borderId="10" xfId="0" applyFill="1" applyBorder="1" applyAlignment="1">
      <alignment/>
    </xf>
    <xf numFmtId="0" fontId="2" fillId="0" borderId="10" xfId="0" applyFont="1" applyFill="1" applyBorder="1" applyAlignment="1">
      <alignment/>
    </xf>
    <xf numFmtId="0" fontId="2" fillId="33" borderId="0" xfId="0" applyFont="1" applyFill="1" applyAlignment="1">
      <alignment/>
    </xf>
    <xf numFmtId="0" fontId="0" fillId="0" borderId="0" xfId="0" applyFont="1" applyFill="1" applyAlignment="1">
      <alignment wrapText="1"/>
    </xf>
    <xf numFmtId="0" fontId="2" fillId="0" borderId="0" xfId="0" applyFont="1" applyAlignment="1" quotePrefix="1">
      <alignment wrapText="1"/>
    </xf>
    <xf numFmtId="0" fontId="8" fillId="0" borderId="0" xfId="0" applyFont="1" applyBorder="1" applyAlignment="1">
      <alignment wrapText="1"/>
    </xf>
    <xf numFmtId="0" fontId="8" fillId="0" borderId="0" xfId="0" applyFont="1" applyBorder="1" applyAlignment="1">
      <alignment vertical="top" wrapText="1"/>
    </xf>
    <xf numFmtId="0" fontId="2" fillId="0" borderId="0" xfId="0" applyFont="1" applyFill="1" applyAlignment="1" quotePrefix="1">
      <alignment wrapText="1"/>
    </xf>
    <xf numFmtId="0" fontId="10" fillId="0" borderId="0" xfId="0" applyFont="1" applyAlignment="1">
      <alignment wrapText="1"/>
    </xf>
    <xf numFmtId="0" fontId="11" fillId="0" borderId="0" xfId="0" applyFont="1" applyAlignment="1">
      <alignment wrapText="1"/>
    </xf>
    <xf numFmtId="0" fontId="11" fillId="0" borderId="0" xfId="0" applyFont="1" applyBorder="1" applyAlignment="1">
      <alignment vertical="top" wrapText="1"/>
    </xf>
    <xf numFmtId="0" fontId="0" fillId="0" borderId="0" xfId="0" applyFont="1" applyAlignment="1">
      <alignment/>
    </xf>
    <xf numFmtId="0" fontId="2" fillId="0" borderId="0" xfId="0" applyFont="1" applyAlignment="1" quotePrefix="1">
      <alignment horizontal="center"/>
    </xf>
    <xf numFmtId="0" fontId="0" fillId="33" borderId="12" xfId="0" applyFill="1" applyBorder="1" applyAlignment="1">
      <alignment/>
    </xf>
    <xf numFmtId="0" fontId="0" fillId="34" borderId="12" xfId="0" applyFill="1" applyBorder="1" applyAlignment="1">
      <alignment horizontal="center"/>
    </xf>
    <xf numFmtId="0" fontId="2" fillId="34" borderId="13" xfId="0" applyFont="1" applyFill="1" applyBorder="1" applyAlignment="1">
      <alignment horizontal="center"/>
    </xf>
    <xf numFmtId="0" fontId="2" fillId="34" borderId="13" xfId="0" applyFont="1" applyFill="1" applyBorder="1" applyAlignment="1">
      <alignment horizontal="center" wrapText="1"/>
    </xf>
    <xf numFmtId="0" fontId="2" fillId="34" borderId="14" xfId="0" applyFont="1" applyFill="1" applyBorder="1" applyAlignment="1">
      <alignment/>
    </xf>
    <xf numFmtId="0" fontId="0" fillId="34" borderId="14" xfId="0" applyFill="1" applyBorder="1" applyAlignment="1">
      <alignment/>
    </xf>
    <xf numFmtId="0" fontId="2" fillId="34" borderId="15" xfId="0" applyFont="1" applyFill="1" applyBorder="1" applyAlignment="1">
      <alignment/>
    </xf>
    <xf numFmtId="0" fontId="0" fillId="34" borderId="16" xfId="0" applyFill="1" applyBorder="1" applyAlignment="1">
      <alignment/>
    </xf>
    <xf numFmtId="0" fontId="6" fillId="34" borderId="12" xfId="0" applyFont="1" applyFill="1" applyBorder="1" applyAlignment="1">
      <alignment wrapText="1"/>
    </xf>
    <xf numFmtId="1" fontId="0" fillId="34" borderId="12" xfId="0" applyNumberFormat="1" applyFill="1" applyBorder="1" applyAlignment="1">
      <alignment horizontal="center"/>
    </xf>
    <xf numFmtId="1" fontId="0" fillId="34" borderId="12" xfId="0" applyNumberFormat="1" applyFill="1" applyBorder="1" applyAlignment="1" quotePrefix="1">
      <alignment horizontal="center"/>
    </xf>
    <xf numFmtId="173" fontId="0" fillId="34" borderId="12" xfId="0" applyNumberFormat="1" applyFill="1" applyBorder="1" applyAlignment="1">
      <alignment horizontal="center"/>
    </xf>
    <xf numFmtId="0" fontId="0" fillId="0" borderId="17" xfId="0" applyFill="1" applyBorder="1" applyAlignment="1">
      <alignment/>
    </xf>
    <xf numFmtId="0" fontId="2" fillId="0" borderId="17" xfId="0" applyFont="1" applyFill="1" applyBorder="1" applyAlignment="1">
      <alignment wrapText="1"/>
    </xf>
    <xf numFmtId="0" fontId="0" fillId="0" borderId="18" xfId="0" applyBorder="1" applyAlignment="1">
      <alignment wrapText="1"/>
    </xf>
    <xf numFmtId="0" fontId="0" fillId="0" borderId="17" xfId="0" applyBorder="1" applyAlignment="1">
      <alignment/>
    </xf>
    <xf numFmtId="0" fontId="4" fillId="0" borderId="0" xfId="0" applyFont="1" applyFill="1" applyBorder="1" applyAlignment="1">
      <alignment/>
    </xf>
    <xf numFmtId="0" fontId="2" fillId="0" borderId="0" xfId="0" applyFont="1" applyFill="1" applyBorder="1" applyAlignment="1">
      <alignment wrapText="1"/>
    </xf>
    <xf numFmtId="0" fontId="2" fillId="33" borderId="0" xfId="0" applyFont="1" applyFill="1" applyBorder="1" applyAlignment="1">
      <alignment/>
    </xf>
    <xf numFmtId="0" fontId="0" fillId="0" borderId="0" xfId="0" applyBorder="1" applyAlignment="1" quotePrefix="1">
      <alignment/>
    </xf>
    <xf numFmtId="0" fontId="0" fillId="0" borderId="0" xfId="0" applyBorder="1" applyAlignment="1">
      <alignment wrapText="1"/>
    </xf>
    <xf numFmtId="0" fontId="2" fillId="0" borderId="17" xfId="0" applyFont="1" applyBorder="1" applyAlignment="1">
      <alignment wrapText="1"/>
    </xf>
    <xf numFmtId="0" fontId="0" fillId="0" borderId="17" xfId="0" applyBorder="1" applyAlignment="1" quotePrefix="1">
      <alignment/>
    </xf>
    <xf numFmtId="0" fontId="2" fillId="0" borderId="18" xfId="0" applyFont="1" applyBorder="1" applyAlignment="1" quotePrefix="1">
      <alignment wrapText="1"/>
    </xf>
    <xf numFmtId="0" fontId="2" fillId="0" borderId="0" xfId="0" applyFont="1" applyBorder="1" applyAlignment="1">
      <alignment wrapText="1"/>
    </xf>
    <xf numFmtId="0" fontId="0" fillId="0" borderId="19" xfId="0" applyFill="1" applyBorder="1" applyAlignment="1">
      <alignment/>
    </xf>
    <xf numFmtId="171" fontId="0" fillId="0" borderId="0" xfId="42" applyFont="1" applyAlignment="1">
      <alignment/>
    </xf>
    <xf numFmtId="0" fontId="2" fillId="34" borderId="0" xfId="0" applyFont="1" applyFill="1" applyAlignment="1">
      <alignment/>
    </xf>
    <xf numFmtId="0" fontId="0" fillId="0" borderId="11" xfId="0" applyFill="1" applyBorder="1" applyAlignment="1">
      <alignment/>
    </xf>
    <xf numFmtId="0" fontId="0" fillId="0" borderId="11" xfId="0" applyBorder="1" applyAlignment="1">
      <alignment wrapText="1"/>
    </xf>
    <xf numFmtId="0" fontId="0" fillId="0" borderId="11" xfId="0" applyBorder="1" applyAlignment="1" quotePrefix="1">
      <alignment/>
    </xf>
    <xf numFmtId="0" fontId="5" fillId="0" borderId="20" xfId="0" applyFont="1" applyBorder="1" applyAlignment="1">
      <alignment wrapText="1"/>
    </xf>
    <xf numFmtId="0" fontId="2" fillId="0" borderId="20" xfId="0" applyFont="1" applyBorder="1" applyAlignment="1" quotePrefix="1">
      <alignment wrapText="1"/>
    </xf>
    <xf numFmtId="0" fontId="5" fillId="0" borderId="11" xfId="0" applyFont="1" applyFill="1" applyBorder="1" applyAlignment="1">
      <alignment vertical="top" wrapText="1"/>
    </xf>
    <xf numFmtId="0" fontId="2" fillId="0" borderId="20" xfId="0" applyFont="1" applyBorder="1" applyAlignment="1">
      <alignment wrapText="1"/>
    </xf>
    <xf numFmtId="0" fontId="2" fillId="33" borderId="12" xfId="0" applyFont="1" applyFill="1" applyBorder="1" applyAlignment="1">
      <alignment/>
    </xf>
    <xf numFmtId="0" fontId="2" fillId="33" borderId="12" xfId="0" applyFont="1" applyFill="1" applyBorder="1" applyAlignment="1">
      <alignment wrapText="1"/>
    </xf>
    <xf numFmtId="0" fontId="0" fillId="34" borderId="12" xfId="0" applyFont="1" applyFill="1" applyBorder="1" applyAlignment="1">
      <alignment/>
    </xf>
    <xf numFmtId="4" fontId="6" fillId="34" borderId="12" xfId="0" applyNumberFormat="1" applyFont="1" applyFill="1" applyBorder="1" applyAlignment="1">
      <alignment/>
    </xf>
    <xf numFmtId="3" fontId="0" fillId="34" borderId="12" xfId="0" applyNumberFormat="1" applyFill="1" applyBorder="1" applyAlignment="1">
      <alignment/>
    </xf>
    <xf numFmtId="4" fontId="0" fillId="34" borderId="12" xfId="0" applyNumberFormat="1" applyFill="1" applyBorder="1" applyAlignment="1">
      <alignment/>
    </xf>
    <xf numFmtId="0" fontId="5" fillId="33" borderId="12" xfId="0" applyFont="1" applyFill="1" applyBorder="1" applyAlignment="1">
      <alignment horizontal="right" vertical="top" wrapText="1"/>
    </xf>
    <xf numFmtId="0" fontId="5" fillId="33" borderId="12" xfId="0" applyFont="1" applyFill="1" applyBorder="1" applyAlignment="1">
      <alignment horizontal="left" vertical="top" wrapText="1"/>
    </xf>
    <xf numFmtId="0" fontId="0" fillId="33" borderId="13" xfId="0" applyFill="1" applyBorder="1" applyAlignment="1">
      <alignment/>
    </xf>
    <xf numFmtId="0" fontId="2" fillId="33" borderId="13" xfId="0" applyFont="1" applyFill="1" applyBorder="1" applyAlignment="1">
      <alignment/>
    </xf>
    <xf numFmtId="0" fontId="0" fillId="34" borderId="13" xfId="0" applyFont="1" applyFill="1" applyBorder="1" applyAlignment="1">
      <alignment/>
    </xf>
    <xf numFmtId="0" fontId="0" fillId="34" borderId="13" xfId="0" applyFill="1" applyBorder="1" applyAlignment="1">
      <alignment/>
    </xf>
    <xf numFmtId="0" fontId="2" fillId="0" borderId="12" xfId="0" applyFont="1" applyBorder="1" applyAlignment="1">
      <alignment/>
    </xf>
    <xf numFmtId="0" fontId="2" fillId="0" borderId="12" xfId="0" applyFont="1" applyBorder="1" applyAlignment="1">
      <alignment wrapText="1"/>
    </xf>
    <xf numFmtId="0" fontId="2" fillId="0" borderId="12" xfId="0" applyFont="1" applyFill="1" applyBorder="1" applyAlignment="1">
      <alignment/>
    </xf>
    <xf numFmtId="0" fontId="2" fillId="0" borderId="12" xfId="0" applyFont="1" applyFill="1" applyBorder="1" applyAlignment="1">
      <alignment wrapText="1"/>
    </xf>
    <xf numFmtId="0" fontId="0" fillId="33" borderId="12" xfId="0" applyFill="1" applyBorder="1" applyAlignment="1">
      <alignment horizontal="center"/>
    </xf>
    <xf numFmtId="0" fontId="0" fillId="0" borderId="14" xfId="0" applyFill="1" applyBorder="1" applyAlignment="1">
      <alignment/>
    </xf>
    <xf numFmtId="0" fontId="0" fillId="0" borderId="14" xfId="0" applyBorder="1" applyAlignment="1">
      <alignment/>
    </xf>
    <xf numFmtId="0" fontId="5" fillId="33" borderId="12" xfId="0" applyFont="1" applyFill="1" applyBorder="1" applyAlignment="1">
      <alignment horizontal="center" vertical="top" wrapText="1"/>
    </xf>
    <xf numFmtId="0" fontId="5" fillId="33" borderId="12" xfId="0" applyFont="1" applyFill="1" applyBorder="1" applyAlignment="1">
      <alignment horizontal="center" wrapText="1"/>
    </xf>
    <xf numFmtId="0" fontId="0" fillId="33" borderId="13" xfId="0" applyFill="1" applyBorder="1" applyAlignment="1">
      <alignment horizontal="center"/>
    </xf>
    <xf numFmtId="4" fontId="6" fillId="34" borderId="13" xfId="0" applyNumberFormat="1" applyFont="1" applyFill="1" applyBorder="1" applyAlignment="1">
      <alignment/>
    </xf>
    <xf numFmtId="0" fontId="2" fillId="0" borderId="14" xfId="0" applyFont="1" applyBorder="1" applyAlignment="1">
      <alignment wrapText="1"/>
    </xf>
    <xf numFmtId="0" fontId="2" fillId="0" borderId="15" xfId="0" applyFont="1" applyBorder="1" applyAlignment="1">
      <alignment/>
    </xf>
    <xf numFmtId="0" fontId="2" fillId="0" borderId="11" xfId="0" applyFont="1" applyBorder="1" applyAlignment="1">
      <alignment wrapText="1"/>
    </xf>
    <xf numFmtId="0" fontId="2" fillId="0" borderId="11" xfId="0" applyFont="1" applyFill="1" applyBorder="1" applyAlignment="1">
      <alignment wrapText="1"/>
    </xf>
    <xf numFmtId="0" fontId="0" fillId="0" borderId="20" xfId="0" applyBorder="1" applyAlignment="1">
      <alignment wrapText="1"/>
    </xf>
    <xf numFmtId="0" fontId="2" fillId="0" borderId="11" xfId="0" applyFont="1" applyFill="1" applyBorder="1" applyAlignment="1">
      <alignment/>
    </xf>
    <xf numFmtId="0" fontId="2" fillId="0" borderId="15" xfId="0" applyFont="1" applyBorder="1" applyAlignment="1">
      <alignment wrapText="1"/>
    </xf>
    <xf numFmtId="0" fontId="2" fillId="0" borderId="16" xfId="0" applyFont="1" applyBorder="1" applyAlignment="1">
      <alignment wrapText="1"/>
    </xf>
    <xf numFmtId="0" fontId="2" fillId="0" borderId="15" xfId="0" applyFont="1" applyFill="1" applyBorder="1" applyAlignment="1">
      <alignment/>
    </xf>
    <xf numFmtId="0" fontId="2" fillId="0" borderId="14" xfId="0" applyFont="1" applyFill="1" applyBorder="1" applyAlignment="1">
      <alignment/>
    </xf>
    <xf numFmtId="0" fontId="2" fillId="0" borderId="14" xfId="0" applyFont="1" applyBorder="1" applyAlignment="1">
      <alignment/>
    </xf>
    <xf numFmtId="0" fontId="2" fillId="0" borderId="16" xfId="0" applyFont="1" applyFill="1" applyBorder="1" applyAlignment="1">
      <alignment/>
    </xf>
    <xf numFmtId="0" fontId="2" fillId="0" borderId="15" xfId="0" applyFont="1" applyFill="1" applyBorder="1" applyAlignment="1">
      <alignment wrapText="1"/>
    </xf>
    <xf numFmtId="0" fontId="2" fillId="33" borderId="12" xfId="0" applyFont="1" applyFill="1" applyBorder="1" applyAlignment="1">
      <alignment horizontal="center"/>
    </xf>
    <xf numFmtId="0" fontId="2" fillId="33" borderId="12" xfId="0" applyFont="1" applyFill="1" applyBorder="1" applyAlignment="1">
      <alignment horizontal="center" wrapText="1"/>
    </xf>
    <xf numFmtId="0" fontId="0" fillId="0" borderId="11" xfId="0" applyFill="1" applyBorder="1" applyAlignment="1" quotePrefix="1">
      <alignment/>
    </xf>
    <xf numFmtId="0" fontId="0" fillId="0" borderId="11" xfId="0" applyFill="1" applyBorder="1" applyAlignment="1">
      <alignment wrapText="1"/>
    </xf>
    <xf numFmtId="0" fontId="2" fillId="0" borderId="14" xfId="0" applyFont="1" applyFill="1" applyBorder="1" applyAlignment="1">
      <alignment wrapText="1"/>
    </xf>
    <xf numFmtId="0" fontId="4" fillId="0" borderId="11" xfId="0" applyFont="1" applyFill="1" applyBorder="1" applyAlignment="1">
      <alignment/>
    </xf>
    <xf numFmtId="4" fontId="13" fillId="34" borderId="12" xfId="0" applyNumberFormat="1" applyFont="1" applyFill="1" applyBorder="1" applyAlignment="1">
      <alignment/>
    </xf>
    <xf numFmtId="0" fontId="2" fillId="0" borderId="13" xfId="0" applyFont="1" applyFill="1" applyBorder="1" applyAlignment="1">
      <alignment/>
    </xf>
    <xf numFmtId="0" fontId="2" fillId="0" borderId="13" xfId="0" applyFont="1" applyFill="1" applyBorder="1" applyAlignment="1">
      <alignment wrapText="1"/>
    </xf>
    <xf numFmtId="0" fontId="2" fillId="0" borderId="21" xfId="0" applyFont="1" applyFill="1" applyBorder="1" applyAlignment="1">
      <alignment/>
    </xf>
    <xf numFmtId="0" fontId="2" fillId="0" borderId="20" xfId="0" applyFont="1" applyFill="1" applyBorder="1" applyAlignment="1">
      <alignment wrapText="1"/>
    </xf>
    <xf numFmtId="0" fontId="2" fillId="0" borderId="22" xfId="0" applyFont="1" applyBorder="1" applyAlignment="1">
      <alignment/>
    </xf>
    <xf numFmtId="0" fontId="5" fillId="0" borderId="22" xfId="0" applyFont="1" applyBorder="1" applyAlignment="1">
      <alignment wrapText="1"/>
    </xf>
    <xf numFmtId="0" fontId="5" fillId="0" borderId="13" xfId="0" applyFont="1" applyBorder="1" applyAlignment="1">
      <alignment wrapText="1"/>
    </xf>
    <xf numFmtId="0" fontId="0" fillId="0" borderId="13" xfId="0" applyBorder="1" applyAlignment="1">
      <alignment/>
    </xf>
    <xf numFmtId="0" fontId="0" fillId="0" borderId="11" xfId="0" applyFont="1" applyBorder="1" applyAlignment="1">
      <alignment wrapText="1"/>
    </xf>
    <xf numFmtId="0" fontId="0" fillId="0" borderId="20" xfId="0" applyBorder="1" applyAlignment="1">
      <alignment/>
    </xf>
    <xf numFmtId="0" fontId="2" fillId="0" borderId="11" xfId="0" applyFont="1" applyBorder="1" applyAlignment="1" quotePrefix="1">
      <alignment wrapText="1"/>
    </xf>
    <xf numFmtId="0" fontId="2" fillId="0" borderId="20" xfId="0" applyFont="1" applyBorder="1" applyAlignment="1" quotePrefix="1">
      <alignment/>
    </xf>
    <xf numFmtId="0" fontId="2" fillId="0" borderId="11" xfId="0" applyFont="1" applyBorder="1" applyAlignment="1" quotePrefix="1">
      <alignment/>
    </xf>
    <xf numFmtId="17" fontId="5" fillId="33" borderId="12" xfId="0" applyNumberFormat="1" applyFont="1" applyFill="1" applyBorder="1" applyAlignment="1">
      <alignment horizontal="center" vertical="top" wrapText="1"/>
    </xf>
    <xf numFmtId="0" fontId="5" fillId="33" borderId="12" xfId="0" applyFont="1" applyFill="1" applyBorder="1" applyAlignment="1">
      <alignment horizontal="right" wrapText="1"/>
    </xf>
    <xf numFmtId="3" fontId="6" fillId="34" borderId="12" xfId="0" applyNumberFormat="1" applyFont="1" applyFill="1" applyBorder="1" applyAlignment="1">
      <alignment/>
    </xf>
    <xf numFmtId="3" fontId="0" fillId="34" borderId="12" xfId="0" applyNumberFormat="1" applyFont="1" applyFill="1" applyBorder="1" applyAlignment="1">
      <alignment/>
    </xf>
    <xf numFmtId="0" fontId="0" fillId="33" borderId="12" xfId="0" applyFill="1" applyBorder="1" applyAlignment="1">
      <alignment horizontal="right"/>
    </xf>
    <xf numFmtId="4" fontId="0" fillId="34" borderId="12" xfId="0" applyNumberFormat="1" applyFont="1" applyFill="1" applyBorder="1" applyAlignment="1">
      <alignment/>
    </xf>
    <xf numFmtId="3" fontId="0" fillId="34" borderId="12" xfId="0" applyNumberFormat="1" applyFont="1" applyFill="1" applyBorder="1" applyAlignment="1">
      <alignment/>
    </xf>
    <xf numFmtId="0" fontId="0" fillId="34" borderId="12" xfId="0" applyFont="1" applyFill="1" applyBorder="1" applyAlignment="1">
      <alignment/>
    </xf>
    <xf numFmtId="0" fontId="2" fillId="0" borderId="20" xfId="0" applyFont="1" applyBorder="1" applyAlignment="1">
      <alignment/>
    </xf>
    <xf numFmtId="0" fontId="2" fillId="0" borderId="11" xfId="0" applyFont="1" applyFill="1" applyBorder="1" applyAlignment="1" quotePrefix="1">
      <alignment wrapText="1"/>
    </xf>
    <xf numFmtId="0" fontId="10" fillId="0" borderId="11" xfId="0" applyFont="1" applyBorder="1" applyAlignment="1">
      <alignment wrapText="1"/>
    </xf>
    <xf numFmtId="4" fontId="6" fillId="0" borderId="11" xfId="0" applyNumberFormat="1" applyFont="1" applyFill="1" applyBorder="1" applyAlignment="1">
      <alignment/>
    </xf>
    <xf numFmtId="0" fontId="2" fillId="0" borderId="11" xfId="0" applyFont="1" applyFill="1" applyBorder="1" applyAlignment="1" quotePrefix="1">
      <alignment/>
    </xf>
    <xf numFmtId="0" fontId="0" fillId="33" borderId="12" xfId="0" applyFill="1" applyBorder="1" applyAlignment="1" quotePrefix="1">
      <alignment/>
    </xf>
    <xf numFmtId="0" fontId="2" fillId="0" borderId="17" xfId="0" applyFont="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33" borderId="17" xfId="0" applyFont="1" applyFill="1" applyBorder="1" applyAlignment="1">
      <alignment/>
    </xf>
    <xf numFmtId="0" fontId="6" fillId="34" borderId="17" xfId="0" applyFont="1" applyFill="1" applyBorder="1" applyAlignment="1">
      <alignment/>
    </xf>
    <xf numFmtId="0" fontId="2" fillId="34" borderId="17" xfId="0" applyFont="1" applyFill="1" applyBorder="1" applyAlignment="1">
      <alignment/>
    </xf>
    <xf numFmtId="0" fontId="2" fillId="0" borderId="11" xfId="0" applyFont="1" applyBorder="1" applyAlignment="1">
      <alignment/>
    </xf>
    <xf numFmtId="0" fontId="0" fillId="0" borderId="14" xfId="0" applyBorder="1" applyAlignment="1">
      <alignment horizontal="center"/>
    </xf>
    <xf numFmtId="0" fontId="0" fillId="33" borderId="12" xfId="0" applyFill="1" applyBorder="1" applyAlignment="1" quotePrefix="1">
      <alignment horizontal="center"/>
    </xf>
    <xf numFmtId="0" fontId="14" fillId="34" borderId="12" xfId="0" applyFont="1" applyFill="1" applyBorder="1" applyAlignment="1">
      <alignment/>
    </xf>
    <xf numFmtId="3" fontId="14" fillId="34" borderId="12" xfId="0" applyNumberFormat="1" applyFont="1" applyFill="1" applyBorder="1" applyAlignment="1">
      <alignment/>
    </xf>
    <xf numFmtId="0" fontId="6" fillId="34" borderId="12" xfId="0" applyFont="1" applyFill="1" applyBorder="1" applyAlignment="1">
      <alignment/>
    </xf>
    <xf numFmtId="0" fontId="5" fillId="33" borderId="12" xfId="0" applyFont="1" applyFill="1" applyBorder="1" applyAlignment="1" quotePrefix="1">
      <alignment horizontal="center" wrapText="1"/>
    </xf>
    <xf numFmtId="0" fontId="2" fillId="33" borderId="12" xfId="0" applyFont="1" applyFill="1" applyBorder="1" applyAlignment="1" quotePrefix="1">
      <alignment horizontal="center"/>
    </xf>
    <xf numFmtId="3" fontId="0" fillId="34" borderId="12" xfId="0" applyNumberFormat="1" applyFill="1" applyBorder="1" applyAlignment="1">
      <alignment horizontal="right"/>
    </xf>
    <xf numFmtId="0" fontId="0" fillId="0" borderId="0" xfId="0" applyFill="1" applyAlignment="1">
      <alignment horizontal="center"/>
    </xf>
    <xf numFmtId="0" fontId="6" fillId="0" borderId="0" xfId="0" applyFont="1" applyFill="1" applyAlignment="1">
      <alignment/>
    </xf>
    <xf numFmtId="0" fontId="6" fillId="0" borderId="0" xfId="0" applyFont="1" applyFill="1" applyBorder="1" applyAlignment="1">
      <alignment/>
    </xf>
    <xf numFmtId="4" fontId="6" fillId="0" borderId="0" xfId="0" applyNumberFormat="1" applyFont="1" applyFill="1" applyBorder="1" applyAlignment="1">
      <alignment/>
    </xf>
    <xf numFmtId="4" fontId="6" fillId="34" borderId="12" xfId="0" applyNumberFormat="1" applyFont="1" applyFill="1" applyBorder="1" applyAlignment="1">
      <alignment horizontal="center"/>
    </xf>
    <xf numFmtId="4" fontId="6" fillId="34" borderId="12" xfId="0" applyNumberFormat="1" applyFont="1" applyFill="1" applyBorder="1" applyAlignment="1" quotePrefix="1">
      <alignment horizontal="center"/>
    </xf>
    <xf numFmtId="4" fontId="0" fillId="34" borderId="12" xfId="0" applyNumberFormat="1" applyFill="1" applyBorder="1" applyAlignment="1">
      <alignment horizontal="center"/>
    </xf>
    <xf numFmtId="0" fontId="5" fillId="33" borderId="12" xfId="0" applyFont="1" applyFill="1" applyBorder="1" applyAlignment="1">
      <alignment wrapText="1"/>
    </xf>
    <xf numFmtId="0" fontId="0" fillId="35" borderId="0" xfId="0" applyFill="1" applyAlignment="1">
      <alignment/>
    </xf>
    <xf numFmtId="0" fontId="2" fillId="35" borderId="0" xfId="0" applyFont="1" applyFill="1" applyAlignment="1">
      <alignment horizontal="left" vertical="top" wrapText="1"/>
    </xf>
    <xf numFmtId="0" fontId="2" fillId="35" borderId="0" xfId="0" applyFont="1" applyFill="1" applyBorder="1" applyAlignment="1">
      <alignment horizontal="left" vertical="top" wrapText="1"/>
    </xf>
    <xf numFmtId="0" fontId="0" fillId="35" borderId="0" xfId="0" applyFont="1" applyFill="1" applyAlignment="1">
      <alignment horizontal="left" vertical="top" wrapText="1"/>
    </xf>
    <xf numFmtId="0" fontId="0" fillId="35" borderId="0" xfId="0" applyFont="1" applyFill="1" applyBorder="1" applyAlignment="1">
      <alignment/>
    </xf>
    <xf numFmtId="0" fontId="0" fillId="35" borderId="0" xfId="0" applyFill="1" applyAlignment="1">
      <alignment horizontal="left" vertical="top" wrapText="1"/>
    </xf>
    <xf numFmtId="0" fontId="0" fillId="35" borderId="0" xfId="0" applyNumberFormat="1" applyFill="1" applyAlignment="1">
      <alignment horizontal="left" vertical="top" wrapText="1"/>
    </xf>
    <xf numFmtId="0" fontId="19" fillId="35" borderId="11" xfId="0" applyFont="1" applyFill="1" applyBorder="1" applyAlignment="1">
      <alignment horizontal="left" vertical="top" wrapText="1"/>
    </xf>
    <xf numFmtId="0" fontId="17" fillId="35" borderId="11" xfId="0" applyFont="1" applyFill="1" applyBorder="1" applyAlignment="1">
      <alignment horizontal="left" vertical="top" wrapText="1"/>
    </xf>
    <xf numFmtId="0" fontId="18" fillId="35" borderId="11" xfId="0" applyFont="1" applyFill="1" applyBorder="1" applyAlignment="1">
      <alignment horizontal="left" vertical="top" wrapText="1"/>
    </xf>
    <xf numFmtId="0" fontId="2" fillId="35" borderId="0" xfId="0" applyFont="1" applyFill="1" applyAlignment="1">
      <alignment wrapText="1"/>
    </xf>
    <xf numFmtId="0" fontId="0" fillId="35" borderId="0" xfId="0" applyFont="1" applyFill="1" applyAlignment="1">
      <alignment wrapText="1"/>
    </xf>
    <xf numFmtId="0" fontId="2" fillId="34" borderId="12" xfId="0" applyFont="1" applyFill="1" applyBorder="1" applyAlignment="1">
      <alignment horizontal="left" wrapText="1"/>
    </xf>
    <xf numFmtId="0" fontId="2" fillId="33" borderId="16" xfId="0" applyFont="1" applyFill="1" applyBorder="1" applyAlignment="1">
      <alignment wrapText="1"/>
    </xf>
    <xf numFmtId="0" fontId="0" fillId="33" borderId="12" xfId="0" applyFont="1" applyFill="1" applyBorder="1" applyAlignment="1">
      <alignment wrapText="1"/>
    </xf>
    <xf numFmtId="0" fontId="0" fillId="33" borderId="12" xfId="0" applyFill="1" applyBorder="1" applyAlignment="1">
      <alignment wrapText="1"/>
    </xf>
    <xf numFmtId="4" fontId="0" fillId="33" borderId="12" xfId="0" applyNumberFormat="1" applyFill="1" applyBorder="1" applyAlignment="1">
      <alignment wrapText="1"/>
    </xf>
    <xf numFmtId="0" fontId="2" fillId="34" borderId="23" xfId="0" applyFont="1" applyFill="1" applyBorder="1" applyAlignment="1">
      <alignment/>
    </xf>
    <xf numFmtId="0" fontId="2" fillId="0" borderId="24" xfId="0" applyFont="1" applyBorder="1" applyAlignment="1">
      <alignment/>
    </xf>
    <xf numFmtId="0" fontId="2" fillId="34" borderId="25" xfId="0" applyFont="1" applyFill="1" applyBorder="1" applyAlignment="1">
      <alignment/>
    </xf>
    <xf numFmtId="0" fontId="2" fillId="34" borderId="24" xfId="0" applyFont="1" applyFill="1" applyBorder="1" applyAlignment="1">
      <alignment/>
    </xf>
    <xf numFmtId="0" fontId="2" fillId="34" borderId="26" xfId="0" applyFont="1" applyFill="1" applyBorder="1" applyAlignment="1">
      <alignment/>
    </xf>
    <xf numFmtId="0" fontId="2" fillId="33" borderId="26" xfId="0" applyFont="1" applyFill="1" applyBorder="1" applyAlignment="1">
      <alignment wrapText="1"/>
    </xf>
    <xf numFmtId="0" fontId="0" fillId="34" borderId="23" xfId="0" applyFill="1" applyBorder="1" applyAlignment="1">
      <alignment horizontal="center"/>
    </xf>
    <xf numFmtId="0" fontId="0" fillId="33" borderId="23" xfId="0" applyFill="1" applyBorder="1" applyAlignment="1">
      <alignment wrapText="1"/>
    </xf>
    <xf numFmtId="0" fontId="0" fillId="0" borderId="24" xfId="0" applyBorder="1" applyAlignment="1">
      <alignment/>
    </xf>
    <xf numFmtId="0" fontId="2" fillId="34" borderId="26" xfId="0" applyFont="1" applyFill="1" applyBorder="1" applyAlignment="1" quotePrefix="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34" borderId="13" xfId="0" applyFont="1" applyFill="1" applyBorder="1" applyAlignment="1">
      <alignment/>
    </xf>
    <xf numFmtId="4" fontId="2" fillId="34" borderId="12" xfId="0" applyNumberFormat="1" applyFont="1" applyFill="1" applyBorder="1" applyAlignment="1">
      <alignment/>
    </xf>
    <xf numFmtId="3" fontId="0" fillId="34" borderId="12" xfId="0" applyNumberFormat="1" applyFont="1" applyFill="1" applyBorder="1" applyAlignment="1">
      <alignment/>
    </xf>
    <xf numFmtId="0" fontId="0" fillId="34" borderId="12" xfId="0" applyFont="1" applyFill="1" applyBorder="1" applyAlignment="1">
      <alignment/>
    </xf>
    <xf numFmtId="181" fontId="2" fillId="34" borderId="12" xfId="0" applyNumberFormat="1" applyFont="1" applyFill="1" applyBorder="1" applyAlignment="1">
      <alignment/>
    </xf>
    <xf numFmtId="4" fontId="0" fillId="34" borderId="12" xfId="0" applyNumberFormat="1" applyFont="1" applyFill="1" applyBorder="1" applyAlignment="1">
      <alignment/>
    </xf>
    <xf numFmtId="181" fontId="0" fillId="34" borderId="12"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6" fillId="34" borderId="12" xfId="0" applyFont="1" applyFill="1" applyBorder="1" applyAlignment="1">
      <alignment wrapText="1"/>
    </xf>
    <xf numFmtId="4" fontId="2" fillId="34" borderId="13" xfId="0" applyNumberFormat="1" applyFont="1" applyFill="1" applyBorder="1" applyAlignment="1">
      <alignment/>
    </xf>
    <xf numFmtId="3" fontId="0" fillId="34" borderId="13" xfId="0" applyNumberFormat="1" applyFont="1" applyFill="1" applyBorder="1" applyAlignment="1">
      <alignment/>
    </xf>
    <xf numFmtId="4" fontId="6" fillId="34" borderId="12" xfId="0" applyNumberFormat="1" applyFont="1" applyFill="1" applyBorder="1" applyAlignment="1" quotePrefix="1">
      <alignment/>
    </xf>
    <xf numFmtId="0" fontId="2" fillId="33" borderId="12" xfId="0" applyFont="1" applyFill="1" applyBorder="1" applyAlignment="1">
      <alignment wrapText="1"/>
    </xf>
    <xf numFmtId="0" fontId="0" fillId="33" borderId="13" xfId="0" applyFont="1" applyFill="1" applyBorder="1" applyAlignment="1">
      <alignment/>
    </xf>
    <xf numFmtId="0" fontId="0" fillId="33" borderId="12" xfId="0" applyFont="1" applyFill="1" applyBorder="1" applyAlignment="1">
      <alignment/>
    </xf>
    <xf numFmtId="3" fontId="0" fillId="33" borderId="12" xfId="0" applyNumberFormat="1" applyFont="1" applyFill="1" applyBorder="1" applyAlignment="1">
      <alignment/>
    </xf>
    <xf numFmtId="3" fontId="0" fillId="0" borderId="0" xfId="0" applyNumberFormat="1" applyFont="1" applyFill="1" applyAlignment="1">
      <alignment/>
    </xf>
    <xf numFmtId="3" fontId="0" fillId="33" borderId="13" xfId="0" applyNumberFormat="1" applyFont="1" applyFill="1" applyBorder="1" applyAlignment="1">
      <alignment/>
    </xf>
    <xf numFmtId="3" fontId="0" fillId="33" borderId="13" xfId="0" applyNumberFormat="1" applyFont="1" applyFill="1" applyBorder="1" applyAlignment="1" quotePrefix="1">
      <alignment horizontal="center"/>
    </xf>
    <xf numFmtId="3" fontId="0" fillId="33" borderId="12" xfId="0" applyNumberFormat="1" applyFont="1" applyFill="1" applyBorder="1" applyAlignment="1" quotePrefix="1">
      <alignment horizontal="center"/>
    </xf>
    <xf numFmtId="0" fontId="0" fillId="33" borderId="12" xfId="0" applyFont="1" applyFill="1" applyBorder="1" applyAlignment="1">
      <alignment/>
    </xf>
    <xf numFmtId="3" fontId="0" fillId="33" borderId="12" xfId="0" applyNumberFormat="1" applyFont="1" applyFill="1" applyBorder="1" applyAlignment="1">
      <alignment/>
    </xf>
    <xf numFmtId="0" fontId="2" fillId="0" borderId="0" xfId="0" applyFont="1" applyFill="1" applyAlignment="1">
      <alignment/>
    </xf>
    <xf numFmtId="3" fontId="0" fillId="0" borderId="0" xfId="0" applyNumberFormat="1" applyFont="1" applyFill="1" applyBorder="1" applyAlignment="1">
      <alignment/>
    </xf>
    <xf numFmtId="0" fontId="0" fillId="0" borderId="0" xfId="0" applyFont="1" applyFill="1" applyBorder="1" applyAlignment="1">
      <alignment/>
    </xf>
    <xf numFmtId="0" fontId="2" fillId="0" borderId="17" xfId="0" applyFont="1" applyFill="1" applyBorder="1" applyAlignment="1">
      <alignment/>
    </xf>
    <xf numFmtId="0" fontId="0" fillId="33" borderId="12" xfId="0" applyFont="1" applyFill="1" applyBorder="1" applyAlignment="1" quotePrefix="1">
      <alignment horizontal="center"/>
    </xf>
    <xf numFmtId="3" fontId="0" fillId="33" borderId="12" xfId="0" applyNumberFormat="1" applyFont="1" applyFill="1" applyBorder="1" applyAlignment="1" quotePrefix="1">
      <alignment/>
    </xf>
    <xf numFmtId="3" fontId="0" fillId="33" borderId="12" xfId="0" applyNumberFormat="1" applyFont="1" applyFill="1" applyBorder="1" applyAlignment="1">
      <alignment horizontal="center"/>
    </xf>
    <xf numFmtId="0" fontId="0" fillId="36" borderId="12" xfId="0" applyFont="1" applyFill="1" applyBorder="1" applyAlignment="1">
      <alignment/>
    </xf>
    <xf numFmtId="0" fontId="0" fillId="32" borderId="0" xfId="0" applyFill="1" applyAlignment="1">
      <alignment/>
    </xf>
    <xf numFmtId="0" fontId="0" fillId="32" borderId="12" xfId="0" applyFill="1" applyBorder="1" applyAlignment="1">
      <alignment wrapText="1"/>
    </xf>
    <xf numFmtId="0" fontId="0" fillId="32" borderId="12" xfId="0" applyFont="1" applyFill="1" applyBorder="1" applyAlignment="1">
      <alignment horizontal="center" wrapText="1"/>
    </xf>
    <xf numFmtId="0" fontId="0" fillId="32" borderId="15" xfId="0" applyFont="1" applyFill="1" applyBorder="1" applyAlignment="1">
      <alignment horizontal="center" wrapText="1"/>
    </xf>
    <xf numFmtId="0" fontId="2" fillId="32" borderId="12" xfId="0" applyFont="1" applyFill="1" applyBorder="1" applyAlignment="1">
      <alignment wrapText="1"/>
    </xf>
    <xf numFmtId="0" fontId="2" fillId="32" borderId="27" xfId="0" applyFont="1" applyFill="1" applyBorder="1" applyAlignment="1">
      <alignment horizontal="center"/>
    </xf>
    <xf numFmtId="0" fontId="0" fillId="32" borderId="27" xfId="0" applyFont="1" applyFill="1" applyBorder="1" applyAlignment="1">
      <alignment horizontal="center" wrapText="1"/>
    </xf>
    <xf numFmtId="0" fontId="0" fillId="32" borderId="12" xfId="0" applyFill="1" applyBorder="1" applyAlignment="1">
      <alignment horizontal="center" wrapText="1"/>
    </xf>
    <xf numFmtId="0" fontId="0" fillId="32" borderId="12" xfId="0" applyFont="1" applyFill="1" applyBorder="1" applyAlignment="1">
      <alignment horizontal="center"/>
    </xf>
    <xf numFmtId="0" fontId="0" fillId="32" borderId="15" xfId="0" applyFill="1" applyBorder="1" applyAlignment="1">
      <alignment wrapText="1"/>
    </xf>
    <xf numFmtId="0" fontId="0" fillId="32" borderId="16" xfId="0" applyFill="1" applyBorder="1" applyAlignment="1">
      <alignment/>
    </xf>
    <xf numFmtId="0" fontId="0" fillId="32" borderId="12" xfId="0" applyFill="1" applyBorder="1" applyAlignment="1">
      <alignment/>
    </xf>
    <xf numFmtId="0" fontId="0" fillId="32" borderId="12" xfId="0" applyFont="1" applyFill="1" applyBorder="1" applyAlignment="1">
      <alignment/>
    </xf>
    <xf numFmtId="0" fontId="0" fillId="32" borderId="0" xfId="0" applyFont="1" applyFill="1" applyAlignment="1">
      <alignment/>
    </xf>
    <xf numFmtId="0" fontId="0" fillId="32" borderId="15" xfId="0" applyFont="1" applyFill="1" applyBorder="1" applyAlignment="1">
      <alignment wrapText="1"/>
    </xf>
    <xf numFmtId="3" fontId="0" fillId="37" borderId="12" xfId="0" applyNumberFormat="1" applyFont="1" applyFill="1" applyBorder="1" applyAlignment="1" applyProtection="1">
      <alignment/>
      <protection locked="0"/>
    </xf>
    <xf numFmtId="0" fontId="0" fillId="33" borderId="12" xfId="0" applyFont="1" applyFill="1" applyBorder="1" applyAlignment="1">
      <alignment/>
    </xf>
    <xf numFmtId="0" fontId="0" fillId="0" borderId="0" xfId="0" applyFont="1" applyFill="1" applyBorder="1" applyAlignment="1">
      <alignment/>
    </xf>
    <xf numFmtId="3" fontId="0" fillId="32" borderId="12" xfId="0" applyNumberFormat="1" applyFill="1" applyBorder="1" applyAlignment="1">
      <alignment/>
    </xf>
    <xf numFmtId="181" fontId="0" fillId="32" borderId="12" xfId="0" applyNumberFormat="1" applyFill="1" applyBorder="1" applyAlignment="1">
      <alignment/>
    </xf>
    <xf numFmtId="0" fontId="0" fillId="34" borderId="12" xfId="0" applyFont="1" applyFill="1" applyBorder="1" applyAlignment="1">
      <alignment wrapText="1"/>
    </xf>
    <xf numFmtId="0" fontId="0" fillId="34" borderId="23" xfId="0" applyFont="1" applyFill="1" applyBorder="1" applyAlignment="1">
      <alignment/>
    </xf>
    <xf numFmtId="0" fontId="0" fillId="38" borderId="12" xfId="0" applyFill="1" applyBorder="1" applyAlignment="1">
      <alignment/>
    </xf>
    <xf numFmtId="0" fontId="5" fillId="38" borderId="12" xfId="0" applyFont="1" applyFill="1" applyBorder="1" applyAlignment="1">
      <alignment horizontal="center" wrapText="1"/>
    </xf>
    <xf numFmtId="3" fontId="0" fillId="33" borderId="13" xfId="0" applyNumberFormat="1" applyFont="1" applyFill="1" applyBorder="1" applyAlignment="1">
      <alignment/>
    </xf>
    <xf numFmtId="0" fontId="0" fillId="0" borderId="15" xfId="0" applyBorder="1" applyAlignment="1" quotePrefix="1">
      <alignment/>
    </xf>
    <xf numFmtId="0" fontId="0" fillId="37" borderId="16" xfId="0" applyFont="1" applyFill="1" applyBorder="1" applyAlignment="1">
      <alignment/>
    </xf>
    <xf numFmtId="0" fontId="0" fillId="33" borderId="27" xfId="0" applyFill="1" applyBorder="1" applyAlignment="1">
      <alignment/>
    </xf>
    <xf numFmtId="0" fontId="0" fillId="33" borderId="27" xfId="0" applyFont="1" applyFill="1" applyBorder="1" applyAlignment="1">
      <alignment/>
    </xf>
    <xf numFmtId="3" fontId="0" fillId="34" borderId="27" xfId="0" applyNumberFormat="1" applyFont="1" applyFill="1" applyBorder="1" applyAlignment="1">
      <alignment/>
    </xf>
    <xf numFmtId="3" fontId="0" fillId="34" borderId="13" xfId="0" applyNumberFormat="1" applyFont="1" applyFill="1" applyBorder="1" applyAlignment="1">
      <alignment/>
    </xf>
    <xf numFmtId="0" fontId="0" fillId="33" borderId="13" xfId="0" applyFont="1" applyFill="1" applyBorder="1" applyAlignment="1">
      <alignment/>
    </xf>
    <xf numFmtId="0" fontId="0" fillId="0" borderId="15" xfId="0" applyFill="1" applyBorder="1" applyAlignment="1">
      <alignment/>
    </xf>
    <xf numFmtId="0" fontId="0" fillId="0" borderId="14" xfId="0" applyFont="1" applyFill="1" applyBorder="1" applyAlignment="1">
      <alignment/>
    </xf>
    <xf numFmtId="0" fontId="0" fillId="0" borderId="16" xfId="0" applyBorder="1" applyAlignment="1">
      <alignment/>
    </xf>
    <xf numFmtId="0" fontId="5" fillId="38" borderId="12" xfId="0" applyFont="1" applyFill="1" applyBorder="1" applyAlignment="1">
      <alignment horizontal="right" wrapText="1"/>
    </xf>
    <xf numFmtId="0" fontId="0" fillId="38" borderId="12" xfId="0" applyFill="1" applyBorder="1" applyAlignment="1">
      <alignment horizontal="right"/>
    </xf>
    <xf numFmtId="3" fontId="0" fillId="38" borderId="12" xfId="0" applyNumberFormat="1" applyFont="1" applyFill="1" applyBorder="1" applyAlignment="1">
      <alignment/>
    </xf>
    <xf numFmtId="0" fontId="0" fillId="0" borderId="0" xfId="0" applyFont="1" applyAlignment="1">
      <alignment horizontal="left" wrapText="1"/>
    </xf>
    <xf numFmtId="3" fontId="0" fillId="34" borderId="12" xfId="0" applyNumberFormat="1" applyFont="1" applyFill="1" applyBorder="1" applyAlignment="1">
      <alignment horizontal="right"/>
    </xf>
    <xf numFmtId="3" fontId="0" fillId="34" borderId="12" xfId="0" applyNumberFormat="1" applyFont="1" applyFill="1" applyBorder="1" applyAlignment="1" quotePrefix="1">
      <alignment horizontal="right"/>
    </xf>
    <xf numFmtId="3" fontId="0" fillId="34" borderId="12" xfId="0" applyNumberFormat="1" applyFill="1" applyBorder="1" applyAlignment="1" quotePrefix="1">
      <alignment horizontal="right"/>
    </xf>
    <xf numFmtId="3" fontId="6" fillId="34" borderId="12" xfId="0" applyNumberFormat="1" applyFont="1" applyFill="1" applyBorder="1" applyAlignment="1">
      <alignment horizontal="right"/>
    </xf>
    <xf numFmtId="0" fontId="0" fillId="37" borderId="12" xfId="0" applyFill="1" applyBorder="1" applyAlignment="1">
      <alignment horizontal="center" wrapText="1"/>
    </xf>
    <xf numFmtId="0" fontId="0" fillId="37" borderId="12" xfId="0" applyFont="1" applyFill="1" applyBorder="1" applyAlignment="1">
      <alignment/>
    </xf>
    <xf numFmtId="0" fontId="0" fillId="37" borderId="12" xfId="0" applyFill="1" applyBorder="1" applyAlignment="1">
      <alignment/>
    </xf>
    <xf numFmtId="0" fontId="74" fillId="0" borderId="0" xfId="0" applyFont="1" applyAlignment="1">
      <alignment/>
    </xf>
    <xf numFmtId="185" fontId="0" fillId="36" borderId="12" xfId="42" applyNumberFormat="1" applyFont="1" applyFill="1" applyBorder="1" applyAlignment="1">
      <alignment/>
    </xf>
    <xf numFmtId="0" fontId="0" fillId="37" borderId="12" xfId="0" applyFont="1" applyFill="1" applyBorder="1" applyAlignment="1">
      <alignment horizontal="center" wrapText="1"/>
    </xf>
    <xf numFmtId="0" fontId="0" fillId="32" borderId="15" xfId="0" applyFont="1" applyFill="1" applyBorder="1" applyAlignment="1">
      <alignment horizontal="center" wrapText="1"/>
    </xf>
    <xf numFmtId="4" fontId="75" fillId="34" borderId="12" xfId="0" applyNumberFormat="1" applyFont="1" applyFill="1" applyBorder="1" applyAlignment="1">
      <alignment/>
    </xf>
    <xf numFmtId="171" fontId="0" fillId="0" borderId="0" xfId="42" applyNumberFormat="1" applyFont="1" applyAlignment="1">
      <alignment/>
    </xf>
    <xf numFmtId="0" fontId="76" fillId="0" borderId="0" xfId="0" applyFont="1" applyBorder="1" applyAlignment="1">
      <alignment vertical="top" wrapText="1"/>
    </xf>
    <xf numFmtId="0" fontId="77" fillId="33" borderId="12" xfId="0" applyFont="1" applyFill="1" applyBorder="1" applyAlignment="1">
      <alignment/>
    </xf>
    <xf numFmtId="0" fontId="78" fillId="0" borderId="0" xfId="0" applyFont="1" applyFill="1" applyAlignment="1">
      <alignment/>
    </xf>
    <xf numFmtId="0" fontId="78" fillId="33" borderId="12" xfId="0" applyFont="1" applyFill="1" applyBorder="1" applyAlignment="1">
      <alignment/>
    </xf>
    <xf numFmtId="3" fontId="78" fillId="33" borderId="12" xfId="0" applyNumberFormat="1" applyFont="1" applyFill="1" applyBorder="1" applyAlignment="1">
      <alignment/>
    </xf>
    <xf numFmtId="0" fontId="75" fillId="0" borderId="0" xfId="0" applyFont="1" applyAlignment="1">
      <alignment/>
    </xf>
    <xf numFmtId="0" fontId="75" fillId="0" borderId="0" xfId="0" applyFont="1" applyFill="1" applyAlignment="1">
      <alignment/>
    </xf>
    <xf numFmtId="0" fontId="79" fillId="0" borderId="0" xfId="0" applyFont="1" applyBorder="1" applyAlignment="1">
      <alignment wrapText="1"/>
    </xf>
    <xf numFmtId="0" fontId="74" fillId="33" borderId="12" xfId="0" applyFont="1" applyFill="1" applyBorder="1" applyAlignment="1">
      <alignment/>
    </xf>
    <xf numFmtId="0" fontId="75" fillId="33" borderId="12" xfId="0" applyFont="1" applyFill="1" applyBorder="1" applyAlignment="1">
      <alignment/>
    </xf>
    <xf numFmtId="3" fontId="75" fillId="33" borderId="12" xfId="0" applyNumberFormat="1" applyFont="1" applyFill="1" applyBorder="1" applyAlignment="1">
      <alignment/>
    </xf>
    <xf numFmtId="0" fontId="75" fillId="0" borderId="10" xfId="0" applyFont="1" applyBorder="1" applyAlignment="1">
      <alignment wrapText="1"/>
    </xf>
    <xf numFmtId="0" fontId="0" fillId="37" borderId="0" xfId="0" applyFont="1" applyFill="1" applyAlignment="1">
      <alignment/>
    </xf>
    <xf numFmtId="3" fontId="0" fillId="33" borderId="12" xfId="0" applyNumberFormat="1" applyFont="1" applyFill="1" applyBorder="1" applyAlignment="1">
      <alignment/>
    </xf>
    <xf numFmtId="0" fontId="74" fillId="34" borderId="12" xfId="0" applyFont="1" applyFill="1" applyBorder="1" applyAlignment="1">
      <alignment/>
    </xf>
    <xf numFmtId="0" fontId="0" fillId="33" borderId="27" xfId="0" applyFont="1" applyFill="1" applyBorder="1" applyAlignment="1">
      <alignment/>
    </xf>
    <xf numFmtId="0" fontId="0" fillId="34" borderId="27" xfId="0" applyFill="1" applyBorder="1" applyAlignment="1">
      <alignment/>
    </xf>
    <xf numFmtId="3" fontId="0" fillId="33" borderId="27" xfId="0" applyNumberFormat="1" applyFont="1" applyFill="1" applyBorder="1" applyAlignment="1">
      <alignment/>
    </xf>
    <xf numFmtId="4" fontId="0" fillId="34" borderId="27" xfId="0" applyNumberFormat="1" applyFill="1" applyBorder="1" applyAlignment="1">
      <alignment/>
    </xf>
    <xf numFmtId="0" fontId="0" fillId="0" borderId="17" xfId="0" applyFont="1" applyBorder="1" applyAlignment="1">
      <alignment/>
    </xf>
    <xf numFmtId="0" fontId="2" fillId="0" borderId="18" xfId="0" applyFont="1" applyBorder="1" applyAlignment="1">
      <alignment/>
    </xf>
    <xf numFmtId="4" fontId="0" fillId="33" borderId="12" xfId="0" applyNumberFormat="1" applyFill="1" applyBorder="1" applyAlignment="1">
      <alignment/>
    </xf>
    <xf numFmtId="0" fontId="0" fillId="38" borderId="12" xfId="0" applyFont="1" applyFill="1" applyBorder="1" applyAlignment="1">
      <alignment/>
    </xf>
    <xf numFmtId="3" fontId="0" fillId="38" borderId="12" xfId="0" applyNumberFormat="1" applyFont="1" applyFill="1" applyBorder="1" applyAlignment="1">
      <alignment/>
    </xf>
    <xf numFmtId="0" fontId="0" fillId="0" borderId="0" xfId="0" applyFill="1" applyAlignment="1">
      <alignment wrapText="1"/>
    </xf>
    <xf numFmtId="4" fontId="74" fillId="34" borderId="12" xfId="0" applyNumberFormat="1" applyFont="1" applyFill="1" applyBorder="1" applyAlignment="1">
      <alignment horizontal="center"/>
    </xf>
    <xf numFmtId="0" fontId="0" fillId="38" borderId="12" xfId="0" applyFont="1" applyFill="1" applyBorder="1" applyAlignment="1">
      <alignment/>
    </xf>
    <xf numFmtId="0" fontId="5" fillId="38" borderId="12" xfId="0" applyFont="1" applyFill="1" applyBorder="1" applyAlignment="1">
      <alignment horizontal="center" vertical="top" wrapText="1"/>
    </xf>
    <xf numFmtId="0" fontId="0" fillId="38" borderId="13" xfId="0" applyFill="1" applyBorder="1" applyAlignment="1">
      <alignment/>
    </xf>
    <xf numFmtId="0" fontId="0" fillId="37" borderId="0" xfId="0" applyFill="1" applyAlignment="1">
      <alignment/>
    </xf>
    <xf numFmtId="3" fontId="74" fillId="34" borderId="12" xfId="0" applyNumberFormat="1" applyFont="1" applyFill="1" applyBorder="1" applyAlignment="1">
      <alignment/>
    </xf>
    <xf numFmtId="0" fontId="0" fillId="0" borderId="10" xfId="0" applyFont="1" applyBorder="1" applyAlignment="1">
      <alignment/>
    </xf>
    <xf numFmtId="0" fontId="0" fillId="38" borderId="12" xfId="0" applyFill="1" applyBorder="1" applyAlignment="1">
      <alignment horizontal="center"/>
    </xf>
    <xf numFmtId="0" fontId="0" fillId="38" borderId="13" xfId="0" applyFill="1" applyBorder="1" applyAlignment="1">
      <alignment horizontal="center"/>
    </xf>
    <xf numFmtId="0" fontId="2" fillId="32" borderId="12" xfId="0" applyFont="1" applyFill="1" applyBorder="1" applyAlignment="1">
      <alignment horizontal="center"/>
    </xf>
    <xf numFmtId="0" fontId="0" fillId="32" borderId="16" xfId="0" applyFont="1" applyFill="1" applyBorder="1" applyAlignment="1">
      <alignment/>
    </xf>
    <xf numFmtId="0" fontId="0" fillId="32" borderId="27" xfId="0" applyFill="1" applyBorder="1" applyAlignment="1">
      <alignment horizontal="center" wrapText="1"/>
    </xf>
    <xf numFmtId="3" fontId="0" fillId="32" borderId="27" xfId="0" applyNumberFormat="1" applyFont="1" applyFill="1" applyBorder="1" applyAlignment="1" applyProtection="1">
      <alignment/>
      <protection locked="0"/>
    </xf>
    <xf numFmtId="0" fontId="0" fillId="32" borderId="16" xfId="0" applyFont="1" applyFill="1" applyBorder="1" applyAlignment="1">
      <alignment/>
    </xf>
    <xf numFmtId="0" fontId="0" fillId="32" borderId="13" xfId="0" applyFill="1" applyBorder="1" applyAlignment="1">
      <alignment horizontal="center" wrapText="1"/>
    </xf>
    <xf numFmtId="3" fontId="0" fillId="32" borderId="13" xfId="0" applyNumberFormat="1" applyFont="1" applyFill="1" applyBorder="1" applyAlignment="1" applyProtection="1">
      <alignment/>
      <protection locked="0"/>
    </xf>
    <xf numFmtId="3" fontId="0" fillId="32" borderId="12" xfId="0" applyNumberFormat="1" applyFont="1" applyFill="1" applyBorder="1" applyAlignment="1">
      <alignment horizontal="center" wrapText="1"/>
    </xf>
    <xf numFmtId="181" fontId="0" fillId="32" borderId="12" xfId="0" applyNumberFormat="1" applyFont="1" applyFill="1" applyBorder="1" applyAlignment="1">
      <alignment horizontal="center"/>
    </xf>
    <xf numFmtId="181" fontId="0" fillId="32" borderId="12" xfId="0" applyNumberFormat="1" applyFont="1" applyFill="1" applyBorder="1" applyAlignment="1">
      <alignment horizontal="center" wrapText="1"/>
    </xf>
    <xf numFmtId="0" fontId="2" fillId="32" borderId="15" xfId="0" applyFont="1" applyFill="1" applyBorder="1" applyAlignment="1">
      <alignment wrapText="1"/>
    </xf>
    <xf numFmtId="0" fontId="0" fillId="32" borderId="16" xfId="0" applyFill="1" applyBorder="1" applyAlignment="1">
      <alignment/>
    </xf>
    <xf numFmtId="0" fontId="2" fillId="37" borderId="0" xfId="0" applyFont="1" applyFill="1" applyAlignment="1">
      <alignment/>
    </xf>
    <xf numFmtId="0" fontId="2" fillId="37" borderId="0" xfId="0" applyFont="1" applyFill="1" applyAlignment="1">
      <alignment horizontal="center"/>
    </xf>
    <xf numFmtId="0" fontId="0" fillId="37" borderId="0" xfId="0" applyFont="1" applyFill="1" applyBorder="1" applyAlignment="1">
      <alignment horizontal="left"/>
    </xf>
    <xf numFmtId="0" fontId="0" fillId="37" borderId="0" xfId="0" applyFont="1" applyFill="1" applyBorder="1" applyAlignment="1">
      <alignment horizontal="center"/>
    </xf>
    <xf numFmtId="0" fontId="0" fillId="37" borderId="0" xfId="0" applyFill="1" applyAlignment="1">
      <alignment horizontal="center"/>
    </xf>
    <xf numFmtId="0" fontId="0" fillId="37" borderId="0" xfId="0" applyFill="1" applyAlignment="1">
      <alignment wrapText="1"/>
    </xf>
    <xf numFmtId="0" fontId="5" fillId="38" borderId="12" xfId="0" applyFont="1" applyFill="1" applyBorder="1" applyAlignment="1">
      <alignment horizontal="right" vertical="top" wrapText="1"/>
    </xf>
    <xf numFmtId="0" fontId="0" fillId="0" borderId="15" xfId="0" applyBorder="1" applyAlignment="1">
      <alignment/>
    </xf>
    <xf numFmtId="3" fontId="2" fillId="34" borderId="12" xfId="0" applyNumberFormat="1" applyFont="1" applyFill="1" applyBorder="1" applyAlignment="1">
      <alignment/>
    </xf>
    <xf numFmtId="0" fontId="0" fillId="32" borderId="15" xfId="0" applyFont="1" applyFill="1" applyBorder="1" applyAlignment="1">
      <alignment horizontal="center" wrapText="1"/>
    </xf>
    <xf numFmtId="0" fontId="0" fillId="37" borderId="12" xfId="0" applyFont="1" applyFill="1" applyBorder="1" applyAlignment="1">
      <alignment horizontal="center"/>
    </xf>
    <xf numFmtId="0" fontId="0" fillId="0" borderId="28" xfId="0" applyFont="1" applyFill="1" applyBorder="1" applyAlignment="1" applyProtection="1">
      <alignment horizontal="center" wrapText="1"/>
      <protection locked="0"/>
    </xf>
    <xf numFmtId="0" fontId="0" fillId="0" borderId="29" xfId="0" applyFont="1" applyFill="1" applyBorder="1" applyAlignment="1" applyProtection="1">
      <alignment horizontal="center" wrapText="1"/>
      <protection locked="0"/>
    </xf>
    <xf numFmtId="0" fontId="0" fillId="32" borderId="12" xfId="0" applyFont="1" applyFill="1" applyBorder="1" applyAlignment="1">
      <alignment wrapText="1"/>
    </xf>
    <xf numFmtId="0" fontId="0" fillId="37" borderId="0" xfId="0" applyFill="1" applyAlignment="1">
      <alignment horizontal="left"/>
    </xf>
    <xf numFmtId="0" fontId="0" fillId="37" borderId="0" xfId="0" applyFill="1" applyBorder="1" applyAlignment="1">
      <alignment/>
    </xf>
    <xf numFmtId="0" fontId="0" fillId="37" borderId="0" xfId="0" applyFont="1" applyFill="1" applyBorder="1" applyAlignment="1">
      <alignment/>
    </xf>
    <xf numFmtId="0" fontId="0" fillId="37" borderId="12" xfId="0" applyFill="1" applyBorder="1" applyAlignment="1">
      <alignment wrapText="1"/>
    </xf>
    <xf numFmtId="0" fontId="2" fillId="37" borderId="12" xfId="0" applyFont="1" applyFill="1" applyBorder="1" applyAlignment="1">
      <alignment horizontal="center"/>
    </xf>
    <xf numFmtId="0" fontId="0" fillId="37" borderId="12" xfId="0" applyFont="1" applyFill="1" applyBorder="1" applyAlignment="1">
      <alignment wrapText="1"/>
    </xf>
    <xf numFmtId="0" fontId="2" fillId="32" borderId="12" xfId="0" applyFont="1" applyFill="1" applyBorder="1" applyAlignment="1">
      <alignment/>
    </xf>
    <xf numFmtId="3" fontId="0" fillId="32" borderId="12" xfId="0" applyNumberFormat="1" applyFont="1" applyFill="1" applyBorder="1" applyAlignment="1" applyProtection="1">
      <alignment/>
      <protection locked="0"/>
    </xf>
    <xf numFmtId="3" fontId="0" fillId="32" borderId="13" xfId="0" applyNumberFormat="1" applyFill="1" applyBorder="1" applyAlignment="1">
      <alignment/>
    </xf>
    <xf numFmtId="0" fontId="0" fillId="37" borderId="28" xfId="0" applyFont="1" applyFill="1" applyBorder="1" applyAlignment="1" applyProtection="1">
      <alignment horizontal="center" wrapText="1"/>
      <protection locked="0"/>
    </xf>
    <xf numFmtId="3" fontId="0" fillId="37" borderId="30" xfId="0" applyNumberFormat="1" applyFont="1" applyFill="1" applyBorder="1" applyAlignment="1" applyProtection="1">
      <alignment/>
      <protection locked="0"/>
    </xf>
    <xf numFmtId="0" fontId="0" fillId="37" borderId="31" xfId="0" applyFont="1" applyFill="1" applyBorder="1" applyAlignment="1" applyProtection="1">
      <alignment horizontal="center" wrapText="1"/>
      <protection locked="0"/>
    </xf>
    <xf numFmtId="3" fontId="0" fillId="37" borderId="32" xfId="0" applyNumberFormat="1" applyFont="1" applyFill="1" applyBorder="1" applyAlignment="1" applyProtection="1">
      <alignment/>
      <protection locked="0"/>
    </xf>
    <xf numFmtId="3" fontId="0" fillId="37" borderId="32" xfId="0" applyNumberFormat="1" applyFill="1" applyBorder="1" applyAlignment="1" applyProtection="1">
      <alignment/>
      <protection locked="0"/>
    </xf>
    <xf numFmtId="0" fontId="0" fillId="37" borderId="29" xfId="0" applyFont="1" applyFill="1" applyBorder="1" applyAlignment="1" applyProtection="1">
      <alignment horizontal="center" wrapText="1"/>
      <protection locked="0"/>
    </xf>
    <xf numFmtId="0" fontId="0" fillId="32" borderId="15" xfId="0" applyFont="1" applyFill="1" applyBorder="1" applyAlignment="1">
      <alignment/>
    </xf>
    <xf numFmtId="3" fontId="0" fillId="32" borderId="27" xfId="0" applyNumberFormat="1" applyFill="1" applyBorder="1" applyAlignment="1">
      <alignment/>
    </xf>
    <xf numFmtId="0" fontId="0" fillId="37" borderId="28" xfId="0" applyFont="1" applyFill="1" applyBorder="1" applyAlignment="1" applyProtection="1">
      <alignment horizontal="center"/>
      <protection locked="0"/>
    </xf>
    <xf numFmtId="3" fontId="0" fillId="37" borderId="30" xfId="0" applyNumberFormat="1" applyFill="1" applyBorder="1" applyAlignment="1" applyProtection="1">
      <alignment/>
      <protection locked="0"/>
    </xf>
    <xf numFmtId="3" fontId="0" fillId="37" borderId="33" xfId="0" applyNumberFormat="1" applyFont="1" applyFill="1" applyBorder="1" applyAlignment="1" applyProtection="1">
      <alignment horizontal="left" wrapText="1"/>
      <protection locked="0"/>
    </xf>
    <xf numFmtId="1" fontId="0" fillId="37" borderId="33" xfId="0" applyNumberFormat="1" applyFont="1" applyFill="1" applyBorder="1" applyAlignment="1" applyProtection="1">
      <alignment horizontal="left" wrapText="1"/>
      <protection locked="0"/>
    </xf>
    <xf numFmtId="3" fontId="0" fillId="37" borderId="34" xfId="0" applyNumberFormat="1" applyFont="1" applyFill="1" applyBorder="1" applyAlignment="1" applyProtection="1">
      <alignment horizontal="left" wrapText="1"/>
      <protection locked="0"/>
    </xf>
    <xf numFmtId="0" fontId="0" fillId="32" borderId="15" xfId="0" applyFont="1" applyFill="1" applyBorder="1" applyAlignment="1">
      <alignment horizontal="left" wrapText="1"/>
    </xf>
    <xf numFmtId="0" fontId="0" fillId="32" borderId="15" xfId="0" applyFill="1" applyBorder="1" applyAlignment="1">
      <alignment/>
    </xf>
    <xf numFmtId="3" fontId="0" fillId="37" borderId="35" xfId="0" applyNumberFormat="1" applyFont="1" applyFill="1" applyBorder="1" applyAlignment="1" applyProtection="1">
      <alignment horizontal="left"/>
      <protection locked="0"/>
    </xf>
    <xf numFmtId="0" fontId="0" fillId="0" borderId="31" xfId="0" applyFont="1" applyFill="1" applyBorder="1" applyAlignment="1" applyProtection="1">
      <alignment horizontal="center" wrapText="1"/>
      <protection locked="0"/>
    </xf>
    <xf numFmtId="0" fontId="2" fillId="0" borderId="31" xfId="0" applyFont="1" applyFill="1" applyBorder="1" applyAlignment="1" applyProtection="1">
      <alignment horizontal="center"/>
      <protection locked="0"/>
    </xf>
    <xf numFmtId="0" fontId="2" fillId="37" borderId="0" xfId="0" applyFont="1" applyFill="1" applyAlignment="1">
      <alignment horizontal="left"/>
    </xf>
    <xf numFmtId="0" fontId="2" fillId="37" borderId="0" xfId="0" applyFont="1" applyFill="1" applyBorder="1" applyAlignment="1">
      <alignment/>
    </xf>
    <xf numFmtId="0" fontId="2" fillId="37" borderId="0" xfId="0" applyFont="1" applyFill="1" applyBorder="1" applyAlignment="1">
      <alignment horizontal="left"/>
    </xf>
    <xf numFmtId="0" fontId="2" fillId="37" borderId="0" xfId="0" applyFont="1" applyFill="1" applyBorder="1" applyAlignment="1">
      <alignment horizontal="center"/>
    </xf>
    <xf numFmtId="0" fontId="2" fillId="37" borderId="12" xfId="0" applyFont="1" applyFill="1" applyBorder="1" applyAlignment="1">
      <alignment wrapText="1"/>
    </xf>
    <xf numFmtId="0" fontId="0" fillId="32" borderId="0" xfId="0" applyFont="1" applyFill="1" applyBorder="1" applyAlignment="1">
      <alignment horizontal="left" wrapText="1"/>
    </xf>
    <xf numFmtId="0" fontId="0" fillId="32" borderId="0" xfId="0" applyFont="1" applyFill="1" applyBorder="1" applyAlignment="1">
      <alignment/>
    </xf>
    <xf numFmtId="0" fontId="0" fillId="32" borderId="0" xfId="0" applyFill="1" applyBorder="1" applyAlignment="1">
      <alignment/>
    </xf>
    <xf numFmtId="0" fontId="2" fillId="32" borderId="0" xfId="0" applyFont="1" applyFill="1" applyBorder="1" applyAlignment="1">
      <alignment horizontal="center"/>
    </xf>
    <xf numFmtId="3" fontId="0" fillId="32" borderId="12" xfId="0" applyNumberFormat="1" applyFont="1" applyFill="1" applyBorder="1" applyAlignment="1">
      <alignment/>
    </xf>
    <xf numFmtId="0" fontId="0" fillId="32" borderId="13" xfId="0" applyFont="1" applyFill="1" applyBorder="1" applyAlignment="1">
      <alignment/>
    </xf>
    <xf numFmtId="3" fontId="0" fillId="32" borderId="13" xfId="0" applyNumberFormat="1" applyFont="1" applyFill="1" applyBorder="1" applyAlignment="1">
      <alignment/>
    </xf>
    <xf numFmtId="3" fontId="0" fillId="37" borderId="36" xfId="0" applyNumberFormat="1" applyFont="1" applyFill="1" applyBorder="1" applyAlignment="1" applyProtection="1">
      <alignment/>
      <protection locked="0"/>
    </xf>
    <xf numFmtId="0" fontId="0" fillId="32" borderId="22" xfId="0" applyFill="1" applyBorder="1" applyAlignment="1">
      <alignment horizontal="center" wrapText="1"/>
    </xf>
    <xf numFmtId="3" fontId="0" fillId="32" borderId="22" xfId="0" applyNumberFormat="1" applyFont="1" applyFill="1" applyBorder="1" applyAlignment="1" applyProtection="1">
      <alignment/>
      <protection locked="0"/>
    </xf>
    <xf numFmtId="3" fontId="0" fillId="37" borderId="37" xfId="0" applyNumberFormat="1" applyFont="1" applyFill="1" applyBorder="1" applyAlignment="1" applyProtection="1">
      <alignment/>
      <protection locked="0"/>
    </xf>
    <xf numFmtId="0" fontId="0" fillId="37" borderId="38" xfId="0" applyFont="1" applyFill="1" applyBorder="1" applyAlignment="1" applyProtection="1">
      <alignment horizontal="center" wrapText="1"/>
      <protection locked="0"/>
    </xf>
    <xf numFmtId="185" fontId="0" fillId="37" borderId="0" xfId="42" applyNumberFormat="1" applyFont="1" applyFill="1" applyAlignment="1">
      <alignment/>
    </xf>
    <xf numFmtId="185" fontId="0" fillId="32" borderId="15" xfId="42" applyNumberFormat="1" applyFont="1" applyFill="1" applyBorder="1" applyAlignment="1">
      <alignment horizontal="center" wrapText="1"/>
    </xf>
    <xf numFmtId="185" fontId="0" fillId="32" borderId="12" xfId="42" applyNumberFormat="1" applyFont="1" applyFill="1" applyBorder="1" applyAlignment="1">
      <alignment horizontal="center" wrapText="1"/>
    </xf>
    <xf numFmtId="0" fontId="20" fillId="32" borderId="12" xfId="0" applyFont="1" applyFill="1" applyBorder="1" applyAlignment="1">
      <alignment wrapText="1"/>
    </xf>
    <xf numFmtId="181" fontId="21" fillId="32" borderId="12" xfId="0" applyNumberFormat="1" applyFont="1" applyFill="1" applyBorder="1" applyAlignment="1">
      <alignment horizontal="right"/>
    </xf>
    <xf numFmtId="181" fontId="0" fillId="32" borderId="12" xfId="0" applyNumberFormat="1" applyFont="1" applyFill="1" applyBorder="1" applyAlignment="1">
      <alignment/>
    </xf>
    <xf numFmtId="0" fontId="21" fillId="32" borderId="12" xfId="0" applyFont="1" applyFill="1" applyBorder="1" applyAlignment="1">
      <alignment/>
    </xf>
    <xf numFmtId="3" fontId="0" fillId="36" borderId="15" xfId="0" applyNumberFormat="1" applyFill="1" applyBorder="1" applyAlignment="1">
      <alignment/>
    </xf>
    <xf numFmtId="3" fontId="0" fillId="36" borderId="14" xfId="0" applyNumberFormat="1" applyFill="1" applyBorder="1" applyAlignment="1">
      <alignment/>
    </xf>
    <xf numFmtId="3" fontId="0" fillId="36" borderId="16" xfId="0" applyNumberFormat="1" applyFill="1" applyBorder="1" applyAlignment="1">
      <alignment/>
    </xf>
    <xf numFmtId="0" fontId="21" fillId="32" borderId="27" xfId="0" applyFont="1" applyFill="1" applyBorder="1" applyAlignment="1">
      <alignment horizontal="center"/>
    </xf>
    <xf numFmtId="3" fontId="21" fillId="32" borderId="27" xfId="0" applyNumberFormat="1" applyFont="1" applyFill="1" applyBorder="1" applyAlignment="1">
      <alignment/>
    </xf>
    <xf numFmtId="0" fontId="0" fillId="32" borderId="13" xfId="0" applyFill="1" applyBorder="1" applyAlignment="1">
      <alignment/>
    </xf>
    <xf numFmtId="0" fontId="20" fillId="32" borderId="15" xfId="0" applyFont="1" applyFill="1" applyBorder="1" applyAlignment="1">
      <alignment wrapText="1"/>
    </xf>
    <xf numFmtId="3" fontId="0" fillId="32" borderId="16" xfId="0" applyNumberFormat="1" applyFont="1" applyFill="1" applyBorder="1" applyAlignment="1">
      <alignment/>
    </xf>
    <xf numFmtId="0" fontId="0" fillId="32" borderId="27" xfId="0" applyFont="1" applyFill="1" applyBorder="1" applyAlignment="1">
      <alignment horizontal="center"/>
    </xf>
    <xf numFmtId="0" fontId="21" fillId="37" borderId="39" xfId="0" applyFont="1" applyFill="1" applyBorder="1" applyAlignment="1" applyProtection="1">
      <alignment horizontal="center"/>
      <protection locked="0"/>
    </xf>
    <xf numFmtId="0" fontId="0" fillId="32" borderId="22" xfId="0" applyFill="1" applyBorder="1" applyAlignment="1">
      <alignment/>
    </xf>
    <xf numFmtId="3" fontId="0" fillId="32" borderId="22" xfId="0" applyNumberFormat="1" applyFill="1" applyBorder="1" applyAlignment="1">
      <alignment/>
    </xf>
    <xf numFmtId="3" fontId="20" fillId="32" borderId="27" xfId="0" applyNumberFormat="1" applyFont="1" applyFill="1" applyBorder="1" applyAlignment="1">
      <alignment/>
    </xf>
    <xf numFmtId="3" fontId="0" fillId="32" borderId="22" xfId="0" applyNumberFormat="1" applyFont="1" applyFill="1" applyBorder="1" applyAlignment="1" applyProtection="1">
      <alignment/>
      <protection/>
    </xf>
    <xf numFmtId="0" fontId="0" fillId="32" borderId="13" xfId="0" applyFont="1" applyFill="1" applyBorder="1" applyAlignment="1" applyProtection="1">
      <alignment horizontal="center" wrapText="1"/>
      <protection/>
    </xf>
    <xf numFmtId="3" fontId="0" fillId="32" borderId="12" xfId="0" applyNumberFormat="1" applyFont="1" applyFill="1" applyBorder="1" applyAlignment="1" applyProtection="1">
      <alignment/>
      <protection/>
    </xf>
    <xf numFmtId="0" fontId="0" fillId="32" borderId="12" xfId="0" applyFont="1" applyFill="1" applyBorder="1" applyAlignment="1" applyProtection="1">
      <alignment horizontal="center"/>
      <protection/>
    </xf>
    <xf numFmtId="3" fontId="0" fillId="37" borderId="12" xfId="0" applyNumberFormat="1" applyFont="1" applyFill="1" applyBorder="1" applyAlignment="1">
      <alignment horizontal="center" wrapText="1"/>
    </xf>
    <xf numFmtId="3" fontId="0" fillId="37" borderId="12" xfId="0" applyNumberFormat="1" applyFill="1" applyBorder="1" applyAlignment="1">
      <alignment wrapText="1"/>
    </xf>
    <xf numFmtId="181" fontId="0" fillId="37" borderId="12" xfId="0" applyNumberFormat="1" applyFill="1" applyBorder="1" applyAlignment="1">
      <alignment horizontal="right" wrapText="1"/>
    </xf>
    <xf numFmtId="3" fontId="0" fillId="32" borderId="12" xfId="0" applyNumberFormat="1" applyFill="1" applyBorder="1" applyAlignment="1">
      <alignment wrapText="1"/>
    </xf>
    <xf numFmtId="181" fontId="0" fillId="32" borderId="12" xfId="0" applyNumberFormat="1" applyFill="1" applyBorder="1" applyAlignment="1">
      <alignment horizontal="right" wrapText="1"/>
    </xf>
    <xf numFmtId="0" fontId="2" fillId="32" borderId="12" xfId="0" applyFont="1" applyFill="1" applyBorder="1" applyAlignment="1">
      <alignment horizontal="center" wrapText="1"/>
    </xf>
    <xf numFmtId="3" fontId="2" fillId="32" borderId="12" xfId="0" applyNumberFormat="1" applyFont="1" applyFill="1" applyBorder="1" applyAlignment="1" applyProtection="1">
      <alignment/>
      <protection locked="0"/>
    </xf>
    <xf numFmtId="3" fontId="2" fillId="32" borderId="12" xfId="0" applyNumberFormat="1" applyFont="1" applyFill="1" applyBorder="1" applyAlignment="1">
      <alignment/>
    </xf>
    <xf numFmtId="0" fontId="0" fillId="32" borderId="19" xfId="0" applyFill="1" applyBorder="1" applyAlignment="1">
      <alignment/>
    </xf>
    <xf numFmtId="0" fontId="0" fillId="32" borderId="27" xfId="0" applyFill="1" applyBorder="1" applyAlignment="1">
      <alignment wrapText="1"/>
    </xf>
    <xf numFmtId="0" fontId="0" fillId="32" borderId="12" xfId="0" applyFont="1" applyFill="1" applyBorder="1" applyAlignment="1">
      <alignment horizontal="center" wrapText="1"/>
    </xf>
    <xf numFmtId="0" fontId="0" fillId="38" borderId="27" xfId="0" applyFill="1" applyBorder="1" applyAlignment="1">
      <alignment horizontal="right"/>
    </xf>
    <xf numFmtId="0" fontId="5" fillId="38" borderId="12" xfId="0" applyFont="1" applyFill="1" applyBorder="1" applyAlignment="1" quotePrefix="1">
      <alignment horizontal="center" wrapText="1"/>
    </xf>
    <xf numFmtId="0" fontId="0" fillId="37" borderId="39" xfId="0" applyFont="1" applyFill="1" applyBorder="1" applyAlignment="1" applyProtection="1">
      <alignment horizontal="center" wrapText="1"/>
      <protection locked="0"/>
    </xf>
    <xf numFmtId="0" fontId="0" fillId="37" borderId="39" xfId="0" applyFont="1" applyFill="1" applyBorder="1" applyAlignment="1" applyProtection="1">
      <alignment horizontal="center"/>
      <protection locked="0"/>
    </xf>
    <xf numFmtId="0" fontId="0" fillId="32" borderId="12" xfId="0" applyFont="1" applyFill="1" applyBorder="1" applyAlignment="1">
      <alignment horizontal="center" wrapText="1"/>
    </xf>
    <xf numFmtId="181" fontId="0" fillId="37" borderId="12" xfId="0" applyNumberFormat="1" applyFill="1" applyBorder="1" applyAlignment="1">
      <alignment horizontal="right"/>
    </xf>
    <xf numFmtId="181" fontId="2" fillId="32" borderId="12" xfId="0" applyNumberFormat="1" applyFont="1" applyFill="1" applyBorder="1" applyAlignment="1">
      <alignment horizontal="right"/>
    </xf>
    <xf numFmtId="3" fontId="0" fillId="32" borderId="12" xfId="0" applyNumberFormat="1" applyFill="1" applyBorder="1" applyAlignment="1">
      <alignment horizontal="right" wrapText="1"/>
    </xf>
    <xf numFmtId="3" fontId="0" fillId="37" borderId="12" xfId="0" applyNumberFormat="1" applyFill="1" applyBorder="1" applyAlignment="1">
      <alignment horizontal="right" wrapText="1"/>
    </xf>
    <xf numFmtId="0" fontId="5" fillId="0" borderId="0" xfId="0" applyFont="1" applyBorder="1" applyAlignment="1">
      <alignment horizontal="center" vertical="top" wrapText="1"/>
    </xf>
    <xf numFmtId="0" fontId="0" fillId="0" borderId="10" xfId="0" applyFont="1" applyBorder="1" applyAlignment="1">
      <alignment wrapText="1"/>
    </xf>
    <xf numFmtId="4" fontId="0" fillId="33" borderId="13" xfId="0" applyNumberFormat="1" applyFont="1" applyFill="1" applyBorder="1" applyAlignment="1">
      <alignment horizontal="center"/>
    </xf>
    <xf numFmtId="180" fontId="0" fillId="33" borderId="12" xfId="0" applyNumberFormat="1" applyFont="1" applyFill="1" applyBorder="1" applyAlignment="1">
      <alignment/>
    </xf>
    <xf numFmtId="0" fontId="5" fillId="0" borderId="0" xfId="0" applyFont="1" applyBorder="1" applyAlignment="1">
      <alignment horizontal="center"/>
    </xf>
    <xf numFmtId="180" fontId="0" fillId="0" borderId="0" xfId="0" applyNumberFormat="1" applyFont="1" applyFill="1" applyBorder="1" applyAlignment="1">
      <alignment/>
    </xf>
    <xf numFmtId="186" fontId="0" fillId="0" borderId="0" xfId="0" applyNumberFormat="1" applyFill="1" applyBorder="1" applyAlignment="1">
      <alignment/>
    </xf>
    <xf numFmtId="0" fontId="0" fillId="0" borderId="0" xfId="0" applyAlignment="1">
      <alignment horizontal="left"/>
    </xf>
    <xf numFmtId="0" fontId="0" fillId="0" borderId="11" xfId="0" applyFont="1" applyBorder="1" applyAlignment="1">
      <alignment/>
    </xf>
    <xf numFmtId="0" fontId="0" fillId="0" borderId="40" xfId="0" applyFont="1" applyFill="1" applyBorder="1" applyAlignment="1" applyProtection="1">
      <alignment horizontal="center" wrapText="1"/>
      <protection locked="0"/>
    </xf>
    <xf numFmtId="0" fontId="2" fillId="37" borderId="39" xfId="0" applyFont="1" applyFill="1" applyBorder="1" applyAlignment="1" applyProtection="1">
      <alignment horizontal="left" wrapText="1"/>
      <protection locked="0"/>
    </xf>
    <xf numFmtId="181" fontId="0" fillId="33" borderId="12" xfId="0" applyNumberFormat="1" applyFont="1" applyFill="1" applyBorder="1" applyAlignment="1">
      <alignment/>
    </xf>
    <xf numFmtId="0" fontId="5" fillId="39" borderId="12" xfId="0" applyFont="1" applyFill="1" applyBorder="1" applyAlignment="1">
      <alignment horizontal="center" wrapText="1"/>
    </xf>
    <xf numFmtId="181" fontId="0" fillId="0" borderId="12" xfId="0" applyNumberFormat="1" applyFill="1" applyBorder="1" applyAlignment="1">
      <alignment horizontal="right" wrapText="1"/>
    </xf>
    <xf numFmtId="0" fontId="0" fillId="40" borderId="0" xfId="0" applyFill="1" applyAlignment="1">
      <alignment wrapText="1"/>
    </xf>
    <xf numFmtId="0" fontId="0" fillId="40" borderId="12" xfId="0" applyFill="1" applyBorder="1" applyAlignment="1">
      <alignment wrapText="1"/>
    </xf>
    <xf numFmtId="0" fontId="0" fillId="40" borderId="12" xfId="0" applyFont="1" applyFill="1" applyBorder="1" applyAlignment="1">
      <alignment wrapText="1"/>
    </xf>
    <xf numFmtId="3" fontId="0" fillId="37" borderId="0" xfId="0" applyNumberFormat="1" applyFill="1" applyAlignment="1">
      <alignment/>
    </xf>
    <xf numFmtId="0" fontId="0" fillId="32" borderId="12" xfId="0" applyFont="1" applyFill="1" applyBorder="1" applyAlignment="1">
      <alignment horizontal="center" wrapText="1"/>
    </xf>
    <xf numFmtId="3" fontId="0" fillId="32" borderId="12" xfId="42" applyNumberFormat="1" applyFont="1" applyFill="1" applyBorder="1" applyAlignment="1">
      <alignment/>
    </xf>
    <xf numFmtId="3" fontId="0" fillId="32" borderId="0" xfId="42" applyNumberFormat="1" applyFont="1" applyFill="1" applyAlignment="1">
      <alignment/>
    </xf>
    <xf numFmtId="3" fontId="0" fillId="32" borderId="16" xfId="42" applyNumberFormat="1" applyFont="1" applyFill="1" applyBorder="1" applyAlignment="1">
      <alignment/>
    </xf>
    <xf numFmtId="3" fontId="0" fillId="32" borderId="12" xfId="42" applyNumberFormat="1" applyFont="1" applyFill="1" applyBorder="1" applyAlignment="1">
      <alignment/>
    </xf>
    <xf numFmtId="3" fontId="0" fillId="32" borderId="12" xfId="0" applyNumberFormat="1" applyFill="1" applyBorder="1" applyAlignment="1">
      <alignment/>
    </xf>
    <xf numFmtId="181" fontId="0" fillId="32" borderId="12" xfId="0" applyNumberFormat="1" applyFill="1" applyBorder="1" applyAlignment="1">
      <alignment/>
    </xf>
    <xf numFmtId="0" fontId="0" fillId="32" borderId="12" xfId="0" applyFont="1" applyFill="1" applyBorder="1" applyAlignment="1">
      <alignment horizontal="left" wrapText="1"/>
    </xf>
    <xf numFmtId="0" fontId="0" fillId="36" borderId="0" xfId="0" applyFont="1" applyFill="1" applyAlignment="1">
      <alignment wrapText="1"/>
    </xf>
    <xf numFmtId="0" fontId="0" fillId="37" borderId="0" xfId="0" applyFill="1" applyAlignment="1" applyProtection="1">
      <alignment/>
      <protection locked="0"/>
    </xf>
    <xf numFmtId="0" fontId="0" fillId="37" borderId="0" xfId="0" applyFont="1" applyFill="1" applyAlignment="1" applyProtection="1">
      <alignment/>
      <protection locked="0"/>
    </xf>
    <xf numFmtId="0" fontId="0" fillId="37" borderId="0" xfId="0" applyFill="1" applyBorder="1" applyAlignment="1" applyProtection="1">
      <alignment/>
      <protection locked="0"/>
    </xf>
    <xf numFmtId="0" fontId="0" fillId="37" borderId="0" xfId="0" applyFill="1" applyAlignment="1" applyProtection="1">
      <alignment wrapText="1"/>
      <protection locked="0"/>
    </xf>
    <xf numFmtId="0" fontId="0" fillId="37" borderId="0" xfId="0" applyFont="1" applyFill="1" applyAlignment="1">
      <alignment wrapText="1"/>
    </xf>
    <xf numFmtId="0" fontId="0" fillId="0" borderId="0" xfId="0" applyFill="1" applyAlignment="1" applyProtection="1">
      <alignment/>
      <protection locked="0"/>
    </xf>
    <xf numFmtId="0" fontId="0" fillId="32" borderId="12" xfId="0" applyFont="1" applyFill="1" applyBorder="1" applyAlignment="1">
      <alignment horizontal="center" wrapText="1"/>
    </xf>
    <xf numFmtId="0" fontId="2" fillId="37" borderId="0" xfId="0" applyFont="1" applyFill="1" applyBorder="1" applyAlignment="1">
      <alignment wrapText="1"/>
    </xf>
    <xf numFmtId="181" fontId="2" fillId="37" borderId="0" xfId="0" applyNumberFormat="1" applyFont="1" applyFill="1" applyBorder="1" applyAlignment="1">
      <alignment/>
    </xf>
    <xf numFmtId="3" fontId="0" fillId="0" borderId="12" xfId="0" applyNumberFormat="1" applyFill="1" applyBorder="1" applyAlignment="1">
      <alignment horizontal="right" wrapText="1"/>
    </xf>
    <xf numFmtId="0" fontId="0" fillId="36" borderId="0" xfId="0" applyFill="1" applyAlignment="1">
      <alignment/>
    </xf>
    <xf numFmtId="9" fontId="0" fillId="37" borderId="12" xfId="59" applyFont="1" applyFill="1" applyBorder="1" applyAlignment="1">
      <alignment horizontal="right" wrapText="1"/>
    </xf>
    <xf numFmtId="9" fontId="2" fillId="32" borderId="12" xfId="59" applyFont="1" applyFill="1" applyBorder="1" applyAlignment="1">
      <alignment/>
    </xf>
    <xf numFmtId="0" fontId="0" fillId="32" borderId="16" xfId="0" applyFont="1" applyFill="1" applyBorder="1" applyAlignment="1">
      <alignment horizontal="center" wrapText="1"/>
    </xf>
    <xf numFmtId="0" fontId="0" fillId="32" borderId="12" xfId="0" applyFont="1" applyFill="1" applyBorder="1" applyAlignment="1">
      <alignment horizontal="center" wrapText="1"/>
    </xf>
    <xf numFmtId="181" fontId="0" fillId="37" borderId="0" xfId="0" applyNumberFormat="1" applyFill="1" applyAlignment="1">
      <alignment/>
    </xf>
    <xf numFmtId="0" fontId="0" fillId="32" borderId="12" xfId="0" applyFont="1" applyFill="1" applyBorder="1" applyAlignment="1">
      <alignment horizontal="center" wrapText="1"/>
    </xf>
    <xf numFmtId="0" fontId="0" fillId="39" borderId="0" xfId="0" applyFill="1" applyAlignment="1">
      <alignment/>
    </xf>
    <xf numFmtId="181" fontId="0" fillId="39" borderId="0" xfId="0" applyNumberFormat="1" applyFill="1" applyAlignment="1">
      <alignment/>
    </xf>
    <xf numFmtId="3" fontId="0" fillId="39" borderId="0" xfId="0" applyNumberFormat="1" applyFill="1" applyAlignment="1">
      <alignment/>
    </xf>
    <xf numFmtId="0" fontId="75" fillId="39" borderId="0" xfId="0" applyFont="1" applyFill="1" applyAlignment="1">
      <alignment/>
    </xf>
    <xf numFmtId="173" fontId="0" fillId="37" borderId="0" xfId="0" applyNumberFormat="1" applyFill="1" applyAlignment="1">
      <alignment/>
    </xf>
    <xf numFmtId="0" fontId="2" fillId="32" borderId="21" xfId="0" applyFont="1" applyFill="1" applyBorder="1" applyAlignment="1">
      <alignment horizontal="left"/>
    </xf>
    <xf numFmtId="0" fontId="2" fillId="32" borderId="41" xfId="0" applyFont="1" applyFill="1" applyBorder="1" applyAlignment="1">
      <alignment horizontal="left"/>
    </xf>
    <xf numFmtId="3" fontId="0" fillId="32" borderId="21" xfId="0" applyNumberFormat="1" applyFont="1" applyFill="1" applyBorder="1" applyAlignment="1">
      <alignment horizontal="left" wrapText="1"/>
    </xf>
    <xf numFmtId="3" fontId="2" fillId="32" borderId="41" xfId="0" applyNumberFormat="1" applyFont="1" applyFill="1" applyBorder="1" applyAlignment="1">
      <alignment horizontal="left"/>
    </xf>
    <xf numFmtId="0" fontId="0" fillId="32" borderId="21" xfId="0" applyFill="1" applyBorder="1" applyAlignment="1">
      <alignment horizontal="left"/>
    </xf>
    <xf numFmtId="0" fontId="2" fillId="32" borderId="41" xfId="0" applyFont="1" applyFill="1" applyBorder="1" applyAlignment="1">
      <alignment horizontal="center"/>
    </xf>
    <xf numFmtId="0" fontId="0" fillId="32" borderId="21" xfId="0" applyFill="1" applyBorder="1" applyAlignment="1">
      <alignment horizontal="center"/>
    </xf>
    <xf numFmtId="0" fontId="0" fillId="32" borderId="21" xfId="0" applyFill="1" applyBorder="1" applyAlignment="1">
      <alignment horizontal="center" wrapText="1"/>
    </xf>
    <xf numFmtId="0" fontId="0" fillId="32" borderId="41" xfId="0" applyFill="1" applyBorder="1" applyAlignment="1">
      <alignment horizontal="center" wrapText="1"/>
    </xf>
    <xf numFmtId="0" fontId="0" fillId="32" borderId="18" xfId="0" applyFont="1" applyFill="1" applyBorder="1" applyAlignment="1">
      <alignment wrapText="1"/>
    </xf>
    <xf numFmtId="0" fontId="2" fillId="32" borderId="10" xfId="0" applyFont="1" applyFill="1" applyBorder="1" applyAlignment="1">
      <alignment/>
    </xf>
    <xf numFmtId="0" fontId="0" fillId="32" borderId="15" xfId="0" applyFont="1" applyFill="1" applyBorder="1" applyAlignment="1">
      <alignment horizontal="left"/>
    </xf>
    <xf numFmtId="0" fontId="0" fillId="32" borderId="11" xfId="0" applyFont="1" applyFill="1" applyBorder="1" applyAlignment="1">
      <alignment horizontal="center"/>
    </xf>
    <xf numFmtId="0" fontId="0" fillId="0" borderId="35" xfId="0" applyFont="1" applyFill="1" applyBorder="1" applyAlignment="1" applyProtection="1">
      <alignment horizontal="center" wrapText="1"/>
      <protection locked="0"/>
    </xf>
    <xf numFmtId="0" fontId="0" fillId="0" borderId="33" xfId="0" applyFont="1" applyFill="1" applyBorder="1" applyAlignment="1" applyProtection="1">
      <alignment horizontal="center" wrapText="1"/>
      <protection locked="0"/>
    </xf>
    <xf numFmtId="0" fontId="0" fillId="0" borderId="34" xfId="0" applyFont="1" applyFill="1" applyBorder="1" applyAlignment="1" applyProtection="1">
      <alignment horizontal="center" wrapText="1"/>
      <protection locked="0"/>
    </xf>
    <xf numFmtId="0" fontId="74" fillId="32" borderId="22" xfId="0" applyFont="1" applyFill="1" applyBorder="1" applyAlignment="1">
      <alignment/>
    </xf>
    <xf numFmtId="0" fontId="0" fillId="41" borderId="0" xfId="0" applyFill="1" applyAlignment="1">
      <alignment/>
    </xf>
    <xf numFmtId="0" fontId="0" fillId="37" borderId="0" xfId="0" applyFill="1" applyBorder="1" applyAlignment="1">
      <alignment/>
    </xf>
    <xf numFmtId="1" fontId="0" fillId="0" borderId="0" xfId="0" applyNumberFormat="1" applyFont="1" applyFill="1" applyBorder="1" applyAlignment="1">
      <alignment/>
    </xf>
    <xf numFmtId="186" fontId="0" fillId="0" borderId="0" xfId="0" applyNumberFormat="1" applyFont="1" applyFill="1" applyBorder="1" applyAlignment="1">
      <alignment/>
    </xf>
    <xf numFmtId="173" fontId="0" fillId="0" borderId="0" xfId="0" applyNumberFormat="1" applyFont="1" applyFill="1" applyBorder="1" applyAlignment="1">
      <alignment/>
    </xf>
    <xf numFmtId="181" fontId="0" fillId="32" borderId="16" xfId="0" applyNumberFormat="1" applyFont="1" applyFill="1" applyBorder="1" applyAlignment="1">
      <alignment/>
    </xf>
    <xf numFmtId="172" fontId="0" fillId="32" borderId="16" xfId="0" applyNumberFormat="1" applyFont="1" applyFill="1" applyBorder="1" applyAlignment="1" applyProtection="1">
      <alignment/>
      <protection/>
    </xf>
    <xf numFmtId="0" fontId="0" fillId="32" borderId="21" xfId="0" applyFill="1" applyBorder="1" applyAlignment="1">
      <alignment/>
    </xf>
    <xf numFmtId="3" fontId="0" fillId="32" borderId="13" xfId="0" applyNumberFormat="1" applyFont="1" applyFill="1" applyBorder="1" applyAlignment="1" applyProtection="1">
      <alignment/>
      <protection/>
    </xf>
    <xf numFmtId="178" fontId="0" fillId="37" borderId="0" xfId="0" applyNumberFormat="1" applyFill="1" applyAlignment="1">
      <alignment horizontal="left"/>
    </xf>
    <xf numFmtId="0" fontId="0" fillId="32" borderId="0" xfId="0" applyFont="1" applyFill="1" applyBorder="1" applyAlignment="1">
      <alignment wrapText="1"/>
    </xf>
    <xf numFmtId="1" fontId="0" fillId="34" borderId="12" xfId="0" applyNumberFormat="1" applyFill="1" applyBorder="1" applyAlignment="1">
      <alignment/>
    </xf>
    <xf numFmtId="0" fontId="0" fillId="0" borderId="12" xfId="0" applyBorder="1" applyAlignment="1">
      <alignment/>
    </xf>
    <xf numFmtId="0" fontId="0" fillId="0" borderId="0" xfId="0" applyAlignment="1">
      <alignment horizontal="right"/>
    </xf>
    <xf numFmtId="185" fontId="25" fillId="0" borderId="12" xfId="42" applyNumberFormat="1" applyFont="1" applyBorder="1" applyAlignment="1">
      <alignment horizontal="right" wrapText="1"/>
    </xf>
    <xf numFmtId="0" fontId="80" fillId="0" borderId="0" xfId="0" applyFont="1" applyAlignment="1">
      <alignment horizontal="left" vertical="top" wrapText="1"/>
    </xf>
    <xf numFmtId="0" fontId="15" fillId="0" borderId="0" xfId="53" applyAlignment="1" applyProtection="1">
      <alignment horizontal="left" vertical="top" wrapText="1"/>
      <protection/>
    </xf>
    <xf numFmtId="15" fontId="80" fillId="0" borderId="0" xfId="0" applyNumberFormat="1" applyFont="1" applyAlignment="1">
      <alignment horizontal="left" vertical="top" wrapText="1"/>
    </xf>
    <xf numFmtId="0" fontId="80" fillId="0" borderId="12" xfId="0" applyFont="1" applyBorder="1" applyAlignment="1">
      <alignment horizontal="left" vertical="top" wrapText="1"/>
    </xf>
    <xf numFmtId="0" fontId="2" fillId="0" borderId="12" xfId="0" applyFont="1" applyBorder="1" applyAlignment="1">
      <alignment horizontal="left"/>
    </xf>
    <xf numFmtId="0" fontId="0" fillId="0" borderId="0" xfId="0" applyBorder="1" applyAlignment="1">
      <alignment horizontal="left"/>
    </xf>
    <xf numFmtId="0" fontId="2" fillId="0" borderId="12" xfId="0" applyFont="1" applyBorder="1" applyAlignment="1">
      <alignment horizontal="left" wrapText="1"/>
    </xf>
    <xf numFmtId="3" fontId="0" fillId="37" borderId="35" xfId="0" applyNumberFormat="1" applyFont="1" applyFill="1" applyBorder="1" applyAlignment="1" applyProtection="1">
      <alignment horizontal="left" wrapText="1"/>
      <protection locked="0"/>
    </xf>
    <xf numFmtId="3" fontId="77" fillId="34" borderId="12" xfId="0" applyNumberFormat="1" applyFont="1" applyFill="1" applyBorder="1" applyAlignment="1">
      <alignment/>
    </xf>
    <xf numFmtId="0" fontId="75" fillId="32" borderId="12" xfId="0" applyFont="1" applyFill="1" applyBorder="1" applyAlignment="1">
      <alignment/>
    </xf>
    <xf numFmtId="0" fontId="75" fillId="32" borderId="0" xfId="0" applyFont="1" applyFill="1" applyBorder="1" applyAlignment="1">
      <alignment wrapText="1"/>
    </xf>
    <xf numFmtId="0" fontId="0" fillId="0" borderId="0" xfId="0" applyFont="1" applyFill="1" applyBorder="1" applyAlignment="1">
      <alignment vertical="center"/>
    </xf>
    <xf numFmtId="185" fontId="25" fillId="0" borderId="12" xfId="42" applyNumberFormat="1" applyFont="1" applyFill="1" applyBorder="1" applyAlignment="1">
      <alignment horizontal="right" vertical="center" wrapText="1"/>
    </xf>
    <xf numFmtId="0" fontId="0" fillId="0" borderId="0" xfId="0" applyFont="1" applyFill="1" applyAlignment="1">
      <alignment vertical="center"/>
    </xf>
    <xf numFmtId="0" fontId="15" fillId="0" borderId="0" xfId="53" applyAlignment="1" applyProtection="1">
      <alignment/>
      <protection/>
    </xf>
    <xf numFmtId="0" fontId="0" fillId="0" borderId="0" xfId="0" applyFont="1" applyAlignment="1">
      <alignment vertical="center"/>
    </xf>
    <xf numFmtId="0" fontId="0" fillId="0" borderId="12" xfId="0" applyFont="1" applyFill="1" applyBorder="1" applyAlignment="1">
      <alignment vertical="center"/>
    </xf>
    <xf numFmtId="0" fontId="0" fillId="0" borderId="12" xfId="0" applyFont="1" applyFill="1" applyBorder="1" applyAlignment="1">
      <alignment/>
    </xf>
    <xf numFmtId="1" fontId="0" fillId="0" borderId="12" xfId="0" applyNumberFormat="1" applyFont="1" applyFill="1" applyBorder="1" applyAlignment="1">
      <alignment vertical="center"/>
    </xf>
    <xf numFmtId="186" fontId="0" fillId="0" borderId="12" xfId="0" applyNumberFormat="1" applyFont="1" applyFill="1" applyBorder="1" applyAlignment="1">
      <alignment/>
    </xf>
    <xf numFmtId="1" fontId="0" fillId="0" borderId="12" xfId="0" applyNumberFormat="1" applyFont="1" applyFill="1" applyBorder="1" applyAlignment="1">
      <alignment/>
    </xf>
    <xf numFmtId="3" fontId="0" fillId="0" borderId="12" xfId="0" applyNumberFormat="1" applyFont="1" applyFill="1" applyBorder="1" applyAlignment="1">
      <alignment/>
    </xf>
    <xf numFmtId="0" fontId="81" fillId="0" borderId="12" xfId="0" applyFont="1" applyFill="1" applyBorder="1" applyAlignment="1">
      <alignment vertical="center"/>
    </xf>
    <xf numFmtId="185" fontId="25" fillId="0" borderId="12" xfId="42" applyNumberFormat="1" applyFont="1" applyFill="1" applyBorder="1" applyAlignment="1">
      <alignment horizontal="right" wrapText="1"/>
    </xf>
    <xf numFmtId="185" fontId="25" fillId="0" borderId="12" xfId="42" applyNumberFormat="1" applyFont="1" applyBorder="1" applyAlignment="1">
      <alignment/>
    </xf>
    <xf numFmtId="2" fontId="0" fillId="0" borderId="12" xfId="0" applyNumberFormat="1" applyFont="1" applyFill="1" applyBorder="1" applyAlignment="1">
      <alignment/>
    </xf>
    <xf numFmtId="1" fontId="2" fillId="0" borderId="12" xfId="0" applyNumberFormat="1" applyFont="1" applyFill="1" applyBorder="1" applyAlignment="1">
      <alignment horizontal="right"/>
    </xf>
    <xf numFmtId="0" fontId="2" fillId="0" borderId="0" xfId="0" applyFont="1" applyFill="1" applyAlignment="1">
      <alignment horizontal="right"/>
    </xf>
    <xf numFmtId="0" fontId="2" fillId="0" borderId="0" xfId="0" applyFont="1" applyFill="1" applyAlignment="1">
      <alignment horizontal="left"/>
    </xf>
    <xf numFmtId="1" fontId="0" fillId="0" borderId="0" xfId="0" applyNumberFormat="1" applyAlignment="1">
      <alignment/>
    </xf>
    <xf numFmtId="1" fontId="0" fillId="0" borderId="12" xfId="0" applyNumberFormat="1" applyBorder="1" applyAlignment="1">
      <alignment/>
    </xf>
    <xf numFmtId="0" fontId="0" fillId="0" borderId="12" xfId="0" applyFont="1" applyBorder="1" applyAlignment="1">
      <alignment horizontal="left" wrapText="1"/>
    </xf>
    <xf numFmtId="1" fontId="0" fillId="0" borderId="12" xfId="0" applyNumberFormat="1" applyFont="1" applyBorder="1" applyAlignment="1">
      <alignment/>
    </xf>
    <xf numFmtId="0" fontId="2" fillId="32" borderId="12" xfId="0" applyFont="1" applyFill="1" applyBorder="1" applyAlignment="1" applyProtection="1">
      <alignment/>
      <protection/>
    </xf>
    <xf numFmtId="0" fontId="0" fillId="32" borderId="12" xfId="0" applyFont="1" applyFill="1" applyBorder="1" applyAlignment="1" applyProtection="1">
      <alignment wrapText="1"/>
      <protection/>
    </xf>
    <xf numFmtId="3" fontId="0" fillId="32" borderId="12" xfId="0" applyNumberFormat="1" applyFont="1" applyFill="1" applyBorder="1" applyAlignment="1" applyProtection="1">
      <alignment horizontal="right"/>
      <protection/>
    </xf>
    <xf numFmtId="178" fontId="0" fillId="32" borderId="12" xfId="0" applyNumberFormat="1" applyFont="1" applyFill="1" applyBorder="1" applyAlignment="1" applyProtection="1">
      <alignment horizontal="right" wrapText="1"/>
      <protection/>
    </xf>
    <xf numFmtId="3" fontId="0" fillId="32" borderId="12" xfId="0" applyNumberFormat="1" applyFont="1" applyFill="1" applyBorder="1" applyAlignment="1" applyProtection="1">
      <alignment horizontal="right" wrapText="1"/>
      <protection/>
    </xf>
    <xf numFmtId="0" fontId="0" fillId="32" borderId="12" xfId="0" applyFont="1" applyFill="1" applyBorder="1" applyAlignment="1" applyProtection="1">
      <alignment wrapText="1"/>
      <protection locked="0"/>
    </xf>
    <xf numFmtId="0" fontId="74" fillId="37" borderId="0" xfId="0" applyFont="1" applyFill="1" applyAlignment="1">
      <alignment/>
    </xf>
    <xf numFmtId="0" fontId="2" fillId="37" borderId="28" xfId="0" applyFont="1" applyFill="1" applyBorder="1" applyAlignment="1">
      <alignment wrapText="1"/>
    </xf>
    <xf numFmtId="0" fontId="0" fillId="37" borderId="42" xfId="0" applyFill="1" applyBorder="1" applyAlignment="1">
      <alignment wrapText="1"/>
    </xf>
    <xf numFmtId="0" fontId="0" fillId="32" borderId="31" xfId="0" applyFill="1" applyBorder="1" applyAlignment="1">
      <alignment wrapText="1"/>
    </xf>
    <xf numFmtId="0" fontId="0" fillId="32" borderId="29" xfId="0" applyFill="1" applyBorder="1" applyAlignment="1">
      <alignment wrapText="1"/>
    </xf>
    <xf numFmtId="0" fontId="0" fillId="32" borderId="23" xfId="0" applyFill="1" applyBorder="1" applyAlignment="1">
      <alignment wrapText="1"/>
    </xf>
    <xf numFmtId="0" fontId="0" fillId="32" borderId="28" xfId="0" applyFill="1" applyBorder="1" applyAlignment="1">
      <alignment wrapText="1"/>
    </xf>
    <xf numFmtId="0" fontId="0" fillId="32" borderId="42" xfId="0" applyFill="1" applyBorder="1" applyAlignment="1">
      <alignment wrapText="1"/>
    </xf>
    <xf numFmtId="0" fontId="0" fillId="32" borderId="43" xfId="0" applyFont="1" applyFill="1" applyBorder="1" applyAlignment="1">
      <alignment horizontal="center" wrapText="1"/>
    </xf>
    <xf numFmtId="0" fontId="0" fillId="32" borderId="30" xfId="0" applyFill="1" applyBorder="1" applyAlignment="1">
      <alignment wrapText="1"/>
    </xf>
    <xf numFmtId="0" fontId="0" fillId="32" borderId="44" xfId="0" applyFill="1" applyBorder="1" applyAlignment="1">
      <alignment/>
    </xf>
    <xf numFmtId="0" fontId="0" fillId="32" borderId="23" xfId="0" applyFont="1" applyFill="1" applyBorder="1" applyAlignment="1">
      <alignment horizontal="center" wrapText="1"/>
    </xf>
    <xf numFmtId="0" fontId="0" fillId="32" borderId="23" xfId="0" applyFont="1" applyFill="1" applyBorder="1" applyAlignment="1">
      <alignment horizontal="center"/>
    </xf>
    <xf numFmtId="0" fontId="0" fillId="37" borderId="42" xfId="0" applyFill="1" applyBorder="1" applyAlignment="1">
      <alignment/>
    </xf>
    <xf numFmtId="0" fontId="0" fillId="32" borderId="23" xfId="0" applyFill="1" applyBorder="1" applyAlignment="1">
      <alignment/>
    </xf>
    <xf numFmtId="0" fontId="0" fillId="32" borderId="31" xfId="0" applyFont="1" applyFill="1" applyBorder="1" applyAlignment="1">
      <alignment wrapText="1"/>
    </xf>
    <xf numFmtId="0" fontId="0" fillId="32" borderId="29" xfId="0" applyFont="1" applyFill="1" applyBorder="1" applyAlignment="1">
      <alignment wrapText="1"/>
    </xf>
    <xf numFmtId="0" fontId="0" fillId="32" borderId="23" xfId="0" applyFont="1" applyFill="1" applyBorder="1" applyAlignment="1">
      <alignment wrapText="1"/>
    </xf>
    <xf numFmtId="0" fontId="0" fillId="32" borderId="36" xfId="0" applyFont="1" applyFill="1" applyBorder="1" applyAlignment="1">
      <alignment wrapText="1"/>
    </xf>
    <xf numFmtId="3" fontId="2" fillId="32" borderId="12" xfId="0" applyNumberFormat="1" applyFont="1" applyFill="1" applyBorder="1" applyAlignment="1">
      <alignment wrapText="1"/>
    </xf>
    <xf numFmtId="181" fontId="2" fillId="32" borderId="12" xfId="0" applyNumberFormat="1" applyFont="1" applyFill="1" applyBorder="1" applyAlignment="1">
      <alignment horizontal="right" wrapText="1"/>
    </xf>
    <xf numFmtId="3" fontId="0" fillId="37" borderId="42" xfId="0" applyNumberFormat="1" applyFont="1" applyFill="1" applyBorder="1" applyAlignment="1" applyProtection="1">
      <alignment horizontal="center" wrapText="1"/>
      <protection locked="0"/>
    </xf>
    <xf numFmtId="0" fontId="0" fillId="37" borderId="42" xfId="0" applyFont="1" applyFill="1" applyBorder="1" applyAlignment="1" applyProtection="1">
      <alignment horizontal="center"/>
      <protection locked="0"/>
    </xf>
    <xf numFmtId="0" fontId="0" fillId="37" borderId="42" xfId="0" applyFont="1" applyFill="1" applyBorder="1" applyAlignment="1" applyProtection="1">
      <alignment horizontal="center" wrapText="1"/>
      <protection locked="0"/>
    </xf>
    <xf numFmtId="0" fontId="0" fillId="37" borderId="30" xfId="0" applyFill="1" applyBorder="1" applyAlignment="1" applyProtection="1">
      <alignment/>
      <protection locked="0"/>
    </xf>
    <xf numFmtId="3" fontId="0" fillId="0" borderId="12" xfId="0" applyNumberFormat="1" applyFont="1" applyFill="1" applyBorder="1" applyAlignment="1" applyProtection="1">
      <alignment horizontal="right" wrapText="1"/>
      <protection locked="0"/>
    </xf>
    <xf numFmtId="0" fontId="0" fillId="37" borderId="32" xfId="0" applyFill="1" applyBorder="1" applyAlignment="1" applyProtection="1">
      <alignment/>
      <protection locked="0"/>
    </xf>
    <xf numFmtId="0" fontId="0" fillId="37" borderId="36" xfId="0" applyFill="1" applyBorder="1" applyAlignment="1" applyProtection="1">
      <alignment/>
      <protection locked="0"/>
    </xf>
    <xf numFmtId="3" fontId="0" fillId="0" borderId="42" xfId="0" applyNumberFormat="1" applyFill="1" applyBorder="1" applyAlignment="1" applyProtection="1">
      <alignment horizontal="right" wrapText="1"/>
      <protection locked="0"/>
    </xf>
    <xf numFmtId="181" fontId="0" fillId="0" borderId="42" xfId="0" applyNumberFormat="1" applyFill="1" applyBorder="1" applyAlignment="1" applyProtection="1">
      <alignment horizontal="right" wrapText="1"/>
      <protection locked="0"/>
    </xf>
    <xf numFmtId="3" fontId="0" fillId="0" borderId="42" xfId="0" applyNumberFormat="1" applyFill="1" applyBorder="1" applyAlignment="1" applyProtection="1">
      <alignment horizontal="right"/>
      <protection locked="0"/>
    </xf>
    <xf numFmtId="181" fontId="0" fillId="0" borderId="42" xfId="0" applyNumberFormat="1" applyFill="1" applyBorder="1" applyAlignment="1" applyProtection="1">
      <alignment horizontal="right"/>
      <protection locked="0"/>
    </xf>
    <xf numFmtId="181" fontId="0" fillId="0" borderId="42" xfId="0" applyNumberFormat="1" applyFont="1" applyFill="1" applyBorder="1" applyAlignment="1" applyProtection="1">
      <alignment horizontal="right" wrapText="1"/>
      <protection locked="0"/>
    </xf>
    <xf numFmtId="3" fontId="0" fillId="0" borderId="42" xfId="0" applyNumberFormat="1" applyFont="1" applyFill="1" applyBorder="1" applyAlignment="1" applyProtection="1">
      <alignment horizontal="right" wrapText="1"/>
      <protection locked="0"/>
    </xf>
    <xf numFmtId="181" fontId="0" fillId="0" borderId="42" xfId="0" applyNumberFormat="1" applyFont="1" applyFill="1" applyBorder="1" applyAlignment="1" applyProtection="1">
      <alignment horizontal="right"/>
      <protection locked="0"/>
    </xf>
    <xf numFmtId="3" fontId="0" fillId="0" borderId="42" xfId="0" applyNumberFormat="1" applyFont="1" applyFill="1" applyBorder="1" applyAlignment="1" applyProtection="1">
      <alignment horizontal="right"/>
      <protection locked="0"/>
    </xf>
    <xf numFmtId="0" fontId="0" fillId="32" borderId="16" xfId="0" applyFont="1" applyFill="1" applyBorder="1" applyAlignment="1">
      <alignment horizontal="center" wrapText="1"/>
    </xf>
    <xf numFmtId="0" fontId="0" fillId="32" borderId="16" xfId="0" applyFont="1" applyFill="1" applyBorder="1" applyAlignment="1">
      <alignment wrapText="1"/>
    </xf>
    <xf numFmtId="0" fontId="0" fillId="32" borderId="16" xfId="0" applyFill="1" applyBorder="1" applyAlignment="1">
      <alignment wrapText="1"/>
    </xf>
    <xf numFmtId="0" fontId="75" fillId="37" borderId="0" xfId="0" applyFont="1" applyFill="1" applyAlignment="1">
      <alignment/>
    </xf>
    <xf numFmtId="0" fontId="0" fillId="32" borderId="12" xfId="0" applyFont="1" applyFill="1" applyBorder="1" applyAlignment="1">
      <alignment horizontal="center" wrapText="1"/>
    </xf>
    <xf numFmtId="185" fontId="0" fillId="37" borderId="0" xfId="42" applyNumberFormat="1" applyFont="1" applyFill="1" applyAlignment="1">
      <alignment/>
    </xf>
    <xf numFmtId="181" fontId="0" fillId="0" borderId="12" xfId="0" applyNumberFormat="1" applyFill="1" applyBorder="1" applyAlignment="1">
      <alignment horizontal="right"/>
    </xf>
    <xf numFmtId="181" fontId="75" fillId="37" borderId="0" xfId="0" applyNumberFormat="1" applyFont="1" applyFill="1" applyAlignment="1">
      <alignment/>
    </xf>
    <xf numFmtId="0" fontId="0" fillId="0" borderId="0" xfId="0" applyFont="1" applyAlignment="1" quotePrefix="1">
      <alignment/>
    </xf>
    <xf numFmtId="0" fontId="75" fillId="0" borderId="0" xfId="0" applyFont="1" applyAlignment="1">
      <alignment wrapText="1"/>
    </xf>
    <xf numFmtId="0" fontId="0" fillId="0" borderId="0" xfId="0" applyFont="1" applyFill="1" applyAlignment="1" quotePrefix="1">
      <alignment/>
    </xf>
    <xf numFmtId="17" fontId="0" fillId="0" borderId="0" xfId="0" applyNumberFormat="1" applyFont="1" applyAlignment="1" quotePrefix="1">
      <alignment/>
    </xf>
    <xf numFmtId="0" fontId="0" fillId="0" borderId="15" xfId="0" applyFont="1" applyBorder="1" applyAlignment="1" quotePrefix="1">
      <alignment/>
    </xf>
    <xf numFmtId="2" fontId="0" fillId="32" borderId="16" xfId="0" applyNumberFormat="1" applyFont="1" applyFill="1" applyBorder="1" applyAlignment="1">
      <alignment/>
    </xf>
    <xf numFmtId="0" fontId="0" fillId="0" borderId="0" xfId="0" applyFont="1" applyFill="1" applyBorder="1" applyAlignment="1">
      <alignment wrapText="1"/>
    </xf>
    <xf numFmtId="172" fontId="0" fillId="0" borderId="0" xfId="0" applyNumberFormat="1" applyFill="1" applyBorder="1" applyAlignment="1">
      <alignment/>
    </xf>
    <xf numFmtId="172" fontId="0" fillId="0" borderId="0" xfId="0" applyNumberFormat="1" applyFont="1" applyFill="1" applyBorder="1" applyAlignment="1">
      <alignment/>
    </xf>
    <xf numFmtId="0" fontId="82" fillId="0" borderId="0" xfId="0" applyFont="1" applyFill="1" applyBorder="1" applyAlignment="1">
      <alignment horizontal="right" wrapText="1"/>
    </xf>
    <xf numFmtId="0" fontId="83" fillId="0" borderId="0" xfId="0" applyFont="1" applyFill="1" applyBorder="1" applyAlignment="1">
      <alignment horizontal="right" wrapText="1"/>
    </xf>
    <xf numFmtId="0" fontId="84" fillId="0" borderId="0" xfId="0" applyFont="1" applyFill="1" applyBorder="1" applyAlignment="1">
      <alignment horizontal="center" wrapText="1"/>
    </xf>
    <xf numFmtId="0" fontId="82" fillId="0" borderId="0" xfId="0" applyFont="1" applyFill="1" applyBorder="1" applyAlignment="1">
      <alignment horizontal="left" wrapText="1"/>
    </xf>
    <xf numFmtId="0" fontId="74" fillId="16" borderId="16" xfId="0" applyFont="1" applyFill="1" applyBorder="1" applyAlignment="1">
      <alignment horizontal="center" wrapText="1"/>
    </xf>
    <xf numFmtId="185" fontId="0" fillId="16" borderId="16" xfId="42" applyNumberFormat="1" applyFont="1" applyFill="1" applyBorder="1" applyAlignment="1">
      <alignment/>
    </xf>
    <xf numFmtId="185" fontId="0" fillId="16" borderId="16" xfId="42" applyNumberFormat="1" applyFont="1" applyFill="1" applyBorder="1" applyAlignment="1">
      <alignment/>
    </xf>
    <xf numFmtId="185" fontId="0" fillId="32" borderId="16" xfId="42" applyNumberFormat="1" applyFont="1" applyFill="1" applyBorder="1" applyAlignment="1">
      <alignment/>
    </xf>
    <xf numFmtId="185" fontId="0" fillId="0" borderId="35" xfId="42" applyNumberFormat="1" applyFont="1" applyFill="1" applyBorder="1" applyAlignment="1" applyProtection="1">
      <alignment horizontal="center" wrapText="1"/>
      <protection locked="0"/>
    </xf>
    <xf numFmtId="185" fontId="0" fillId="0" borderId="45" xfId="42" applyNumberFormat="1" applyFont="1" applyFill="1" applyBorder="1" applyAlignment="1" applyProtection="1">
      <alignment horizontal="center" wrapText="1"/>
      <protection locked="0"/>
    </xf>
    <xf numFmtId="185" fontId="0" fillId="0" borderId="33" xfId="42" applyNumberFormat="1" applyFont="1" applyFill="1" applyBorder="1" applyAlignment="1" applyProtection="1">
      <alignment horizontal="center" wrapText="1"/>
      <protection locked="0"/>
    </xf>
    <xf numFmtId="185" fontId="0" fillId="0" borderId="34" xfId="42" applyNumberFormat="1" applyFont="1" applyFill="1" applyBorder="1" applyAlignment="1" applyProtection="1">
      <alignment horizontal="center" wrapText="1"/>
      <protection locked="0"/>
    </xf>
    <xf numFmtId="0" fontId="0" fillId="37" borderId="0" xfId="0" applyFont="1" applyFill="1" applyBorder="1" applyAlignment="1">
      <alignment wrapText="1"/>
    </xf>
    <xf numFmtId="0" fontId="0" fillId="37" borderId="0" xfId="0" applyFont="1" applyFill="1" applyBorder="1" applyAlignment="1" applyProtection="1">
      <alignment horizontal="center" wrapText="1"/>
      <protection locked="0"/>
    </xf>
    <xf numFmtId="0" fontId="0" fillId="37" borderId="0" xfId="0" applyFill="1" applyBorder="1" applyAlignment="1">
      <alignment wrapText="1"/>
    </xf>
    <xf numFmtId="0" fontId="2" fillId="37" borderId="0" xfId="0" applyFont="1" applyFill="1" applyBorder="1" applyAlignment="1" applyProtection="1">
      <alignment horizontal="center"/>
      <protection locked="0"/>
    </xf>
    <xf numFmtId="0" fontId="82" fillId="37" borderId="0" xfId="0" applyFont="1" applyFill="1" applyBorder="1" applyAlignment="1">
      <alignment horizontal="right" wrapText="1"/>
    </xf>
    <xf numFmtId="0" fontId="83" fillId="37" borderId="0" xfId="0" applyFont="1" applyFill="1" applyBorder="1" applyAlignment="1">
      <alignment horizontal="right" wrapText="1"/>
    </xf>
    <xf numFmtId="0" fontId="84" fillId="37" borderId="0" xfId="0" applyFont="1" applyFill="1" applyBorder="1" applyAlignment="1">
      <alignment horizontal="center" wrapText="1"/>
    </xf>
    <xf numFmtId="185" fontId="82" fillId="37" borderId="0" xfId="42" applyNumberFormat="1" applyFont="1" applyFill="1" applyBorder="1" applyAlignment="1">
      <alignment horizontal="right" wrapText="1"/>
    </xf>
    <xf numFmtId="172" fontId="0" fillId="37" borderId="0" xfId="0" applyNumberFormat="1" applyFill="1" applyBorder="1" applyAlignment="1">
      <alignment/>
    </xf>
    <xf numFmtId="186" fontId="0" fillId="37" borderId="0" xfId="0" applyNumberFormat="1" applyFill="1" applyBorder="1" applyAlignment="1">
      <alignment/>
    </xf>
    <xf numFmtId="172" fontId="0" fillId="37" borderId="0" xfId="0" applyNumberFormat="1" applyFont="1" applyFill="1" applyBorder="1" applyAlignment="1">
      <alignment/>
    </xf>
    <xf numFmtId="186" fontId="0" fillId="37" borderId="0" xfId="0" applyNumberFormat="1" applyFont="1" applyFill="1" applyBorder="1" applyAlignment="1">
      <alignment/>
    </xf>
    <xf numFmtId="185" fontId="0" fillId="37" borderId="0" xfId="42" applyNumberFormat="1" applyFont="1" applyFill="1" applyBorder="1" applyAlignment="1">
      <alignment/>
    </xf>
    <xf numFmtId="185" fontId="83" fillId="37" borderId="0" xfId="42" applyNumberFormat="1" applyFont="1" applyFill="1" applyBorder="1" applyAlignment="1">
      <alignment horizontal="right" wrapText="1"/>
    </xf>
    <xf numFmtId="0" fontId="82" fillId="37" borderId="0" xfId="0" applyFont="1" applyFill="1" applyBorder="1" applyAlignment="1">
      <alignment wrapText="1"/>
    </xf>
    <xf numFmtId="0" fontId="82" fillId="37" borderId="0" xfId="0" applyFont="1" applyFill="1" applyBorder="1" applyAlignment="1">
      <alignment horizontal="left" wrapText="1"/>
    </xf>
    <xf numFmtId="2" fontId="0" fillId="37" borderId="0" xfId="0" applyNumberFormat="1" applyFill="1" applyBorder="1" applyAlignment="1">
      <alignment/>
    </xf>
    <xf numFmtId="0" fontId="82" fillId="37" borderId="0" xfId="0" applyFont="1" applyFill="1" applyBorder="1" applyAlignment="1">
      <alignment/>
    </xf>
    <xf numFmtId="191" fontId="0" fillId="37" borderId="0" xfId="0" applyNumberFormat="1" applyFont="1" applyFill="1" applyBorder="1" applyAlignment="1">
      <alignment/>
    </xf>
    <xf numFmtId="173" fontId="0" fillId="37" borderId="0" xfId="0" applyNumberFormat="1" applyFill="1" applyBorder="1" applyAlignment="1">
      <alignment/>
    </xf>
    <xf numFmtId="2" fontId="0" fillId="33" borderId="12" xfId="0" applyNumberFormat="1" applyFill="1" applyBorder="1" applyAlignment="1">
      <alignment/>
    </xf>
    <xf numFmtId="0" fontId="73" fillId="34" borderId="12" xfId="0" applyFont="1" applyFill="1" applyBorder="1" applyAlignment="1">
      <alignment wrapText="1"/>
    </xf>
    <xf numFmtId="0" fontId="0" fillId="41" borderId="12" xfId="0" applyFill="1" applyBorder="1" applyAlignment="1">
      <alignment wrapText="1"/>
    </xf>
    <xf numFmtId="0" fontId="74" fillId="0" borderId="0" xfId="0" applyFont="1" applyAlignment="1">
      <alignment wrapText="1"/>
    </xf>
    <xf numFmtId="187" fontId="0" fillId="0" borderId="0" xfId="0" applyNumberFormat="1" applyFont="1" applyAlignment="1">
      <alignment/>
    </xf>
    <xf numFmtId="0" fontId="72" fillId="0" borderId="0" xfId="0" applyFont="1" applyAlignment="1">
      <alignment wrapText="1"/>
    </xf>
    <xf numFmtId="0" fontId="0" fillId="0" borderId="0" xfId="0" applyFont="1" applyAlignment="1">
      <alignment wrapText="1"/>
    </xf>
    <xf numFmtId="0" fontId="57" fillId="0" borderId="0" xfId="0" applyFont="1" applyAlignment="1">
      <alignment wrapText="1"/>
    </xf>
    <xf numFmtId="185" fontId="0" fillId="0" borderId="0" xfId="42" applyNumberFormat="1" applyFont="1" applyAlignment="1">
      <alignment/>
    </xf>
    <xf numFmtId="0" fontId="81" fillId="0" borderId="0" xfId="0" applyFont="1" applyAlignment="1">
      <alignment/>
    </xf>
    <xf numFmtId="0" fontId="81" fillId="0" borderId="0" xfId="0" applyFont="1" applyAlignment="1">
      <alignment wrapText="1"/>
    </xf>
    <xf numFmtId="0" fontId="25" fillId="34" borderId="12" xfId="0" applyFont="1" applyFill="1" applyBorder="1" applyAlignment="1">
      <alignment wrapText="1"/>
    </xf>
    <xf numFmtId="3" fontId="0" fillId="0" borderId="0" xfId="0" applyNumberFormat="1" applyAlignment="1">
      <alignment/>
    </xf>
    <xf numFmtId="0" fontId="1" fillId="37" borderId="0" xfId="0" applyFont="1" applyFill="1" applyAlignment="1">
      <alignment/>
    </xf>
    <xf numFmtId="3" fontId="0" fillId="0" borderId="37" xfId="0" applyNumberFormat="1" applyFont="1" applyFill="1" applyBorder="1" applyAlignment="1" applyProtection="1">
      <alignment/>
      <protection locked="0"/>
    </xf>
    <xf numFmtId="3" fontId="0" fillId="37" borderId="12" xfId="0" applyNumberFormat="1" applyFill="1" applyBorder="1" applyAlignment="1">
      <alignment horizontal="right"/>
    </xf>
    <xf numFmtId="0" fontId="75" fillId="37" borderId="0" xfId="0" applyFont="1" applyFill="1" applyAlignment="1">
      <alignment horizontal="center"/>
    </xf>
    <xf numFmtId="0" fontId="0" fillId="32" borderId="15" xfId="0" applyFont="1" applyFill="1" applyBorder="1" applyAlignment="1">
      <alignment horizontal="center" wrapText="1"/>
    </xf>
    <xf numFmtId="0" fontId="0" fillId="32" borderId="14" xfId="0" applyFont="1" applyFill="1" applyBorder="1" applyAlignment="1">
      <alignment horizontal="center" wrapText="1"/>
    </xf>
    <xf numFmtId="0" fontId="0" fillId="32" borderId="16" xfId="0" applyFont="1" applyFill="1" applyBorder="1" applyAlignment="1">
      <alignment horizontal="center" wrapText="1"/>
    </xf>
    <xf numFmtId="0" fontId="2" fillId="37" borderId="15" xfId="0" applyFont="1" applyFill="1" applyBorder="1" applyAlignment="1">
      <alignment horizontal="left" wrapText="1"/>
    </xf>
    <xf numFmtId="0" fontId="2" fillId="37" borderId="14" xfId="0" applyFont="1" applyFill="1" applyBorder="1" applyAlignment="1">
      <alignment horizontal="left" wrapText="1"/>
    </xf>
    <xf numFmtId="0" fontId="2" fillId="37" borderId="16" xfId="0" applyFont="1" applyFill="1" applyBorder="1" applyAlignment="1">
      <alignment horizontal="left" wrapText="1"/>
    </xf>
    <xf numFmtId="0" fontId="0" fillId="32" borderId="12" xfId="0" applyFont="1" applyFill="1" applyBorder="1" applyAlignment="1">
      <alignment horizontal="center" wrapText="1"/>
    </xf>
    <xf numFmtId="0" fontId="2" fillId="37" borderId="0" xfId="0" applyFont="1" applyFill="1" applyAlignment="1">
      <alignment horizontal="left" wrapText="1"/>
    </xf>
    <xf numFmtId="0" fontId="0" fillId="32" borderId="27" xfId="0" applyFont="1" applyFill="1" applyBorder="1" applyAlignment="1">
      <alignment horizontal="center" vertical="top" wrapText="1"/>
    </xf>
    <xf numFmtId="0" fontId="0" fillId="32" borderId="13" xfId="0" applyFont="1" applyFill="1" applyBorder="1" applyAlignment="1">
      <alignment horizontal="center" vertical="top" wrapText="1"/>
    </xf>
    <xf numFmtId="0" fontId="0" fillId="32" borderId="15" xfId="0" applyFont="1" applyFill="1" applyBorder="1" applyAlignment="1">
      <alignment horizontal="center" vertical="top" wrapText="1"/>
    </xf>
    <xf numFmtId="0" fontId="0" fillId="32" borderId="14" xfId="0" applyFont="1" applyFill="1" applyBorder="1" applyAlignment="1">
      <alignment horizontal="center" vertical="top" wrapText="1"/>
    </xf>
    <xf numFmtId="0" fontId="0" fillId="32" borderId="16" xfId="0" applyFont="1" applyFill="1" applyBorder="1" applyAlignment="1">
      <alignment horizontal="center" vertical="top" wrapText="1"/>
    </xf>
    <xf numFmtId="0" fontId="0" fillId="32" borderId="43" xfId="0" applyFont="1" applyFill="1" applyBorder="1" applyAlignment="1">
      <alignment horizontal="center" wrapText="1"/>
    </xf>
    <xf numFmtId="0" fontId="0" fillId="32" borderId="46" xfId="0" applyFont="1" applyFill="1" applyBorder="1" applyAlignment="1">
      <alignment horizontal="center" wrapText="1"/>
    </xf>
    <xf numFmtId="0" fontId="0" fillId="32" borderId="47" xfId="0" applyFont="1" applyFill="1" applyBorder="1" applyAlignment="1">
      <alignment horizontal="center" wrapText="1"/>
    </xf>
    <xf numFmtId="0" fontId="81" fillId="37" borderId="0" xfId="0" applyFont="1" applyFill="1"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25"/>
          <c:w val="0.9895"/>
          <c:h val="0.9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1-Charts'!$B$8:$B$24</c:f>
              <c:numCache/>
            </c:numRef>
          </c:val>
        </c:ser>
        <c:axId val="60573527"/>
        <c:axId val="8290832"/>
      </c:barChart>
      <c:catAx>
        <c:axId val="60573527"/>
        <c:scaling>
          <c:orientation val="maxMin"/>
        </c:scaling>
        <c:axPos val="l"/>
        <c:delete val="0"/>
        <c:numFmt formatCode="General" sourceLinked="1"/>
        <c:majorTickMark val="none"/>
        <c:minorTickMark val="none"/>
        <c:tickLblPos val="nextTo"/>
        <c:spPr>
          <a:ln w="3175">
            <a:solidFill>
              <a:srgbClr val="808080"/>
            </a:solidFill>
          </a:ln>
        </c:spPr>
        <c:crossAx val="8290832"/>
        <c:crosses val="autoZero"/>
        <c:auto val="1"/>
        <c:lblOffset val="100"/>
        <c:tickLblSkip val="1"/>
        <c:noMultiLvlLbl val="0"/>
      </c:catAx>
      <c:valAx>
        <c:axId val="8290832"/>
        <c:scaling>
          <c:orientation val="minMax"/>
        </c:scaling>
        <c:axPos val="t"/>
        <c:title>
          <c:tx>
            <c:rich>
              <a:bodyPr vert="horz" rot="0" anchor="ctr"/>
              <a:lstStyle/>
              <a:p>
                <a:pPr algn="ctr">
                  <a:defRPr/>
                </a:pPr>
                <a:r>
                  <a:rPr lang="en-US" cap="none" sz="1800" b="1" i="0" u="none" baseline="0">
                    <a:solidFill>
                      <a:srgbClr val="000000"/>
                    </a:solidFill>
                  </a:rPr>
                  <a:t>Estimated mercury inputs (Kg Hg/y)</a:t>
                </a:r>
              </a:p>
            </c:rich>
          </c:tx>
          <c:layout>
            <c:manualLayout>
              <c:xMode val="factor"/>
              <c:yMode val="factor"/>
              <c:x val="0.0025"/>
              <c:y val="-0.006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0573527"/>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
          <c:w val="0.98825"/>
          <c:h val="0.91825"/>
        </c:manualLayout>
      </c:layout>
      <c:barChart>
        <c:barDir val="bar"/>
        <c:grouping val="clustered"/>
        <c:varyColors val="0"/>
        <c:ser>
          <c:idx val="1"/>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1-Charts'!$C$8:$C$24</c:f>
              <c:numCache/>
            </c:numRef>
          </c:val>
        </c:ser>
        <c:axId val="7508625"/>
        <c:axId val="468762"/>
      </c:barChart>
      <c:catAx>
        <c:axId val="7508625"/>
        <c:scaling>
          <c:orientation val="maxMin"/>
        </c:scaling>
        <c:axPos val="l"/>
        <c:delete val="0"/>
        <c:numFmt formatCode="General" sourceLinked="1"/>
        <c:majorTickMark val="none"/>
        <c:minorTickMark val="none"/>
        <c:tickLblPos val="nextTo"/>
        <c:spPr>
          <a:ln w="3175">
            <a:solidFill>
              <a:srgbClr val="808080"/>
            </a:solidFill>
          </a:ln>
        </c:spPr>
        <c:crossAx val="468762"/>
        <c:crosses val="autoZero"/>
        <c:auto val="1"/>
        <c:lblOffset val="100"/>
        <c:tickLblSkip val="1"/>
        <c:noMultiLvlLbl val="0"/>
      </c:catAx>
      <c:valAx>
        <c:axId val="468762"/>
        <c:scaling>
          <c:orientation val="minMax"/>
        </c:scaling>
        <c:axPos val="t"/>
        <c:title>
          <c:tx>
            <c:rich>
              <a:bodyPr vert="horz" rot="0" anchor="ctr"/>
              <a:lstStyle/>
              <a:p>
                <a:pPr algn="ctr">
                  <a:defRPr/>
                </a:pPr>
                <a:r>
                  <a:rPr lang="en-US" cap="none" sz="1800" b="1" i="0" u="none" baseline="0">
                    <a:solidFill>
                      <a:srgbClr val="000000"/>
                    </a:solidFill>
                  </a:rPr>
                  <a:t>Estimated mercury releases to air (Kg Hg/y)</a:t>
                </a:r>
              </a:p>
            </c:rich>
          </c:tx>
          <c:layout>
            <c:manualLayout>
              <c:xMode val="factor"/>
              <c:yMode val="factor"/>
              <c:x val="0.00175"/>
              <c:y val="-0.017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7508625"/>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
          <c:w val="0.98825"/>
          <c:h val="0.91775"/>
        </c:manualLayout>
      </c:layout>
      <c:barChart>
        <c:barDir val="bar"/>
        <c:grouping val="clustered"/>
        <c:varyColors val="0"/>
        <c:ser>
          <c:idx val="0"/>
          <c:order val="0"/>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1-Charts'!$E$8:$E$24</c:f>
              <c:numCache/>
            </c:numRef>
          </c:val>
        </c:ser>
        <c:axId val="4218859"/>
        <c:axId val="37969732"/>
      </c:barChart>
      <c:catAx>
        <c:axId val="4218859"/>
        <c:scaling>
          <c:orientation val="maxMin"/>
        </c:scaling>
        <c:axPos val="l"/>
        <c:delete val="0"/>
        <c:numFmt formatCode="General" sourceLinked="1"/>
        <c:majorTickMark val="none"/>
        <c:minorTickMark val="none"/>
        <c:tickLblPos val="nextTo"/>
        <c:spPr>
          <a:ln w="3175">
            <a:solidFill>
              <a:srgbClr val="808080"/>
            </a:solidFill>
          </a:ln>
        </c:spPr>
        <c:crossAx val="37969732"/>
        <c:crosses val="autoZero"/>
        <c:auto val="1"/>
        <c:lblOffset val="100"/>
        <c:tickLblSkip val="1"/>
        <c:noMultiLvlLbl val="0"/>
      </c:catAx>
      <c:valAx>
        <c:axId val="37969732"/>
        <c:scaling>
          <c:orientation val="minMax"/>
        </c:scaling>
        <c:axPos val="t"/>
        <c:title>
          <c:tx>
            <c:rich>
              <a:bodyPr vert="horz" rot="0" anchor="ctr"/>
              <a:lstStyle/>
              <a:p>
                <a:pPr algn="ctr">
                  <a:defRPr/>
                </a:pPr>
                <a:r>
                  <a:rPr lang="en-US" cap="none" sz="1800" b="1" i="0" u="none" baseline="0">
                    <a:solidFill>
                      <a:srgbClr val="000000"/>
                    </a:solidFill>
                  </a:rPr>
                  <a:t>Estimated mercury releases to land (Kg Hg/y)</a:t>
                </a:r>
              </a:p>
            </c:rich>
          </c:tx>
          <c:layout>
            <c:manualLayout>
              <c:xMode val="factor"/>
              <c:yMode val="factor"/>
              <c:x val="0.00175"/>
              <c:y val="-0.01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18859"/>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
          <c:w val="0.98975"/>
          <c:h val="0.91775"/>
        </c:manualLayout>
      </c:layout>
      <c:barChart>
        <c:barDir val="bar"/>
        <c:grouping val="clustered"/>
        <c:varyColors val="0"/>
        <c:ser>
          <c:idx val="1"/>
          <c:order val="0"/>
          <c:spPr>
            <a:solidFill>
              <a:srgbClr val="948A5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1-Charts'!$D$8:$D$24</c:f>
              <c:numCache/>
            </c:numRef>
          </c:val>
        </c:ser>
        <c:axId val="6183269"/>
        <c:axId val="55649422"/>
      </c:barChart>
      <c:catAx>
        <c:axId val="6183269"/>
        <c:scaling>
          <c:orientation val="maxMin"/>
        </c:scaling>
        <c:axPos val="l"/>
        <c:delete val="0"/>
        <c:numFmt formatCode="General" sourceLinked="1"/>
        <c:majorTickMark val="none"/>
        <c:minorTickMark val="none"/>
        <c:tickLblPos val="nextTo"/>
        <c:spPr>
          <a:ln w="3175">
            <a:solidFill>
              <a:srgbClr val="808080"/>
            </a:solidFill>
          </a:ln>
        </c:spPr>
        <c:crossAx val="55649422"/>
        <c:crosses val="autoZero"/>
        <c:auto val="1"/>
        <c:lblOffset val="100"/>
        <c:tickLblSkip val="1"/>
        <c:noMultiLvlLbl val="0"/>
      </c:catAx>
      <c:valAx>
        <c:axId val="55649422"/>
        <c:scaling>
          <c:orientation val="minMax"/>
        </c:scaling>
        <c:axPos val="t"/>
        <c:title>
          <c:tx>
            <c:rich>
              <a:bodyPr vert="horz" rot="0" anchor="ctr"/>
              <a:lstStyle/>
              <a:p>
                <a:pPr algn="ctr">
                  <a:defRPr/>
                </a:pPr>
                <a:r>
                  <a:rPr lang="en-US" cap="none" sz="1800" b="1" i="0" u="none" baseline="0">
                    <a:solidFill>
                      <a:srgbClr val="000000"/>
                    </a:solidFill>
                  </a:rPr>
                  <a:t>Estimated mercury releases to water (Kg Hg/y)</a:t>
                </a:r>
              </a:p>
            </c:rich>
          </c:tx>
          <c:layout>
            <c:manualLayout>
              <c:xMode val="factor"/>
              <c:yMode val="factor"/>
              <c:x val="0.00175"/>
              <c:y val="-0.014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183269"/>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
          <c:w val="0.98975"/>
          <c:h val="0.86175"/>
        </c:manualLayout>
      </c:layout>
      <c:barChart>
        <c:barDir val="bar"/>
        <c:grouping val="clustered"/>
        <c:varyColors val="0"/>
        <c:ser>
          <c:idx val="1"/>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1-Charts'!$F$8:$F$24</c:f>
              <c:numCache/>
            </c:numRef>
          </c:val>
        </c:ser>
        <c:axId val="31082751"/>
        <c:axId val="11309304"/>
      </c:barChart>
      <c:catAx>
        <c:axId val="31082751"/>
        <c:scaling>
          <c:orientation val="maxMin"/>
        </c:scaling>
        <c:axPos val="l"/>
        <c:delete val="0"/>
        <c:numFmt formatCode="General" sourceLinked="1"/>
        <c:majorTickMark val="none"/>
        <c:minorTickMark val="none"/>
        <c:tickLblPos val="nextTo"/>
        <c:spPr>
          <a:ln w="3175">
            <a:solidFill>
              <a:srgbClr val="808080"/>
            </a:solidFill>
          </a:ln>
        </c:spPr>
        <c:crossAx val="11309304"/>
        <c:crosses val="autoZero"/>
        <c:auto val="1"/>
        <c:lblOffset val="100"/>
        <c:tickLblSkip val="1"/>
        <c:noMultiLvlLbl val="0"/>
      </c:catAx>
      <c:valAx>
        <c:axId val="11309304"/>
        <c:scaling>
          <c:orientation val="minMax"/>
        </c:scaling>
        <c:axPos val="t"/>
        <c:title>
          <c:tx>
            <c:rich>
              <a:bodyPr vert="horz" rot="0" anchor="ctr"/>
              <a:lstStyle/>
              <a:p>
                <a:pPr algn="ctr">
                  <a:defRPr/>
                </a:pPr>
                <a:r>
                  <a:rPr lang="en-US" cap="none" sz="1800" b="1" i="0" u="none" baseline="0">
                    <a:solidFill>
                      <a:srgbClr val="000000"/>
                    </a:solidFill>
                  </a:rPr>
                  <a:t>Estimated mercury outputs to by-products and impurities (Kg Hg/y)</a:t>
                </a:r>
              </a:p>
            </c:rich>
          </c:tx>
          <c:layout>
            <c:manualLayout>
              <c:xMode val="factor"/>
              <c:yMode val="factor"/>
              <c:x val="-0.005"/>
              <c:y val="-0.017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1082751"/>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25"/>
          <c:w val="0.98975"/>
          <c:h val="0.912"/>
        </c:manualLayout>
      </c:layout>
      <c:barChart>
        <c:barDir val="bar"/>
        <c:grouping val="clustered"/>
        <c:varyColors val="0"/>
        <c:ser>
          <c:idx val="0"/>
          <c:order val="0"/>
          <c:spPr>
            <a:solidFill>
              <a:srgbClr val="6C4B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1-Charts'!$G$8:$G$24</c:f>
              <c:numCache/>
            </c:numRef>
          </c:val>
        </c:ser>
        <c:axId val="34674873"/>
        <c:axId val="43638402"/>
      </c:barChart>
      <c:catAx>
        <c:axId val="34674873"/>
        <c:scaling>
          <c:orientation val="maxMin"/>
        </c:scaling>
        <c:axPos val="l"/>
        <c:delete val="0"/>
        <c:numFmt formatCode="General" sourceLinked="1"/>
        <c:majorTickMark val="none"/>
        <c:minorTickMark val="none"/>
        <c:tickLblPos val="nextTo"/>
        <c:spPr>
          <a:ln w="3175">
            <a:solidFill>
              <a:srgbClr val="808080"/>
            </a:solidFill>
          </a:ln>
        </c:spPr>
        <c:crossAx val="43638402"/>
        <c:crosses val="autoZero"/>
        <c:auto val="1"/>
        <c:lblOffset val="100"/>
        <c:tickLblSkip val="1"/>
        <c:noMultiLvlLbl val="0"/>
      </c:catAx>
      <c:valAx>
        <c:axId val="43638402"/>
        <c:scaling>
          <c:orientation val="minMax"/>
        </c:scaling>
        <c:axPos val="t"/>
        <c:title>
          <c:tx>
            <c:rich>
              <a:bodyPr vert="horz" rot="0" anchor="ctr"/>
              <a:lstStyle/>
              <a:p>
                <a:pPr algn="ctr">
                  <a:defRPr/>
                </a:pPr>
                <a:r>
                  <a:rPr lang="en-US" cap="none" sz="1800" b="1" i="0" u="none" baseline="0">
                    <a:solidFill>
                      <a:srgbClr val="000000"/>
                    </a:solidFill>
                  </a:rPr>
                  <a:t>Estimated mercury releases to general waste (Kg Hg/y)</a:t>
                </a:r>
              </a:p>
            </c:rich>
          </c:tx>
          <c:layout>
            <c:manualLayout>
              <c:xMode val="factor"/>
              <c:yMode val="factor"/>
              <c:x val="0.00825"/>
              <c:y val="-0.03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674873"/>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5"/>
          <c:w val="0.98975"/>
          <c:h val="0.91125"/>
        </c:manualLayout>
      </c:layout>
      <c:barChart>
        <c:barDir val="bar"/>
        <c:grouping val="clustered"/>
        <c:varyColors val="0"/>
        <c:ser>
          <c:idx val="0"/>
          <c:order val="0"/>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'Level 1-Charts'!$A$8:$A$24</c:f>
              <c:strCache/>
            </c:strRef>
          </c:cat>
          <c:val>
            <c:numRef>
              <c:f>'Level 1-Charts'!$H$8:$H$24</c:f>
              <c:numCache/>
            </c:numRef>
          </c:val>
        </c:ser>
        <c:axId val="57201299"/>
        <c:axId val="45049644"/>
      </c:barChart>
      <c:catAx>
        <c:axId val="57201299"/>
        <c:scaling>
          <c:orientation val="maxMin"/>
        </c:scaling>
        <c:axPos val="l"/>
        <c:delete val="0"/>
        <c:numFmt formatCode="General" sourceLinked="1"/>
        <c:majorTickMark val="none"/>
        <c:minorTickMark val="none"/>
        <c:tickLblPos val="nextTo"/>
        <c:spPr>
          <a:ln w="3175">
            <a:solidFill>
              <a:srgbClr val="808080"/>
            </a:solidFill>
          </a:ln>
        </c:spPr>
        <c:crossAx val="45049644"/>
        <c:crosses val="autoZero"/>
        <c:auto val="1"/>
        <c:lblOffset val="100"/>
        <c:tickLblSkip val="1"/>
        <c:noMultiLvlLbl val="0"/>
      </c:catAx>
      <c:valAx>
        <c:axId val="45049644"/>
        <c:scaling>
          <c:orientation val="minMax"/>
        </c:scaling>
        <c:axPos val="t"/>
        <c:title>
          <c:tx>
            <c:rich>
              <a:bodyPr vert="horz" rot="0" anchor="ctr"/>
              <a:lstStyle/>
              <a:p>
                <a:pPr algn="ctr">
                  <a:defRPr/>
                </a:pPr>
                <a:r>
                  <a:rPr lang="en-US" cap="none" sz="1800" b="1" i="0" u="none" baseline="0">
                    <a:solidFill>
                      <a:srgbClr val="000000"/>
                    </a:solidFill>
                  </a:rPr>
                  <a:t>Estimated mercury releases, sector spec. waste (Kg Hg/y)</a:t>
                </a:r>
              </a:p>
            </c:rich>
          </c:tx>
          <c:layout>
            <c:manualLayout>
              <c:xMode val="factor"/>
              <c:yMode val="factor"/>
              <c:x val="0.00775"/>
              <c:y val="-0.04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7201299"/>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66675</xdr:rowOff>
    </xdr:from>
    <xdr:to>
      <xdr:col>4</xdr:col>
      <xdr:colOff>666750</xdr:colOff>
      <xdr:row>78</xdr:row>
      <xdr:rowOff>57150</xdr:rowOff>
    </xdr:to>
    <xdr:graphicFrame>
      <xdr:nvGraphicFramePr>
        <xdr:cNvPr id="1" name="Chart 2"/>
        <xdr:cNvGraphicFramePr/>
      </xdr:nvGraphicFramePr>
      <xdr:xfrm>
        <a:off x="0" y="7915275"/>
        <a:ext cx="6829425" cy="5495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9525</xdr:rowOff>
    </xdr:from>
    <xdr:to>
      <xdr:col>4</xdr:col>
      <xdr:colOff>685800</xdr:colOff>
      <xdr:row>116</xdr:row>
      <xdr:rowOff>57150</xdr:rowOff>
    </xdr:to>
    <xdr:graphicFrame>
      <xdr:nvGraphicFramePr>
        <xdr:cNvPr id="2" name="Chart 3"/>
        <xdr:cNvGraphicFramePr/>
      </xdr:nvGraphicFramePr>
      <xdr:xfrm>
        <a:off x="0" y="13687425"/>
        <a:ext cx="6848475" cy="5876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156</xdr:row>
      <xdr:rowOff>38100</xdr:rowOff>
    </xdr:from>
    <xdr:to>
      <xdr:col>4</xdr:col>
      <xdr:colOff>695325</xdr:colOff>
      <xdr:row>192</xdr:row>
      <xdr:rowOff>66675</xdr:rowOff>
    </xdr:to>
    <xdr:graphicFrame>
      <xdr:nvGraphicFramePr>
        <xdr:cNvPr id="3" name="Chart 9"/>
        <xdr:cNvGraphicFramePr/>
      </xdr:nvGraphicFramePr>
      <xdr:xfrm>
        <a:off x="0" y="26022300"/>
        <a:ext cx="6858000" cy="58578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118</xdr:row>
      <xdr:rowOff>66675</xdr:rowOff>
    </xdr:from>
    <xdr:to>
      <xdr:col>4</xdr:col>
      <xdr:colOff>704850</xdr:colOff>
      <xdr:row>154</xdr:row>
      <xdr:rowOff>95250</xdr:rowOff>
    </xdr:to>
    <xdr:graphicFrame>
      <xdr:nvGraphicFramePr>
        <xdr:cNvPr id="4" name="Chart 10"/>
        <xdr:cNvGraphicFramePr/>
      </xdr:nvGraphicFramePr>
      <xdr:xfrm>
        <a:off x="0" y="19897725"/>
        <a:ext cx="6867525" cy="58578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194</xdr:row>
      <xdr:rowOff>114300</xdr:rowOff>
    </xdr:from>
    <xdr:to>
      <xdr:col>4</xdr:col>
      <xdr:colOff>704850</xdr:colOff>
      <xdr:row>228</xdr:row>
      <xdr:rowOff>123825</xdr:rowOff>
    </xdr:to>
    <xdr:graphicFrame>
      <xdr:nvGraphicFramePr>
        <xdr:cNvPr id="5" name="Chart 16"/>
        <xdr:cNvGraphicFramePr/>
      </xdr:nvGraphicFramePr>
      <xdr:xfrm>
        <a:off x="0" y="32251650"/>
        <a:ext cx="6867525" cy="5514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230</xdr:row>
      <xdr:rowOff>152400</xdr:rowOff>
    </xdr:from>
    <xdr:to>
      <xdr:col>4</xdr:col>
      <xdr:colOff>704850</xdr:colOff>
      <xdr:row>264</xdr:row>
      <xdr:rowOff>123825</xdr:rowOff>
    </xdr:to>
    <xdr:graphicFrame>
      <xdr:nvGraphicFramePr>
        <xdr:cNvPr id="6" name="Chart 17"/>
        <xdr:cNvGraphicFramePr/>
      </xdr:nvGraphicFramePr>
      <xdr:xfrm>
        <a:off x="0" y="38119050"/>
        <a:ext cx="6867525" cy="54768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266</xdr:row>
      <xdr:rowOff>66675</xdr:rowOff>
    </xdr:from>
    <xdr:to>
      <xdr:col>4</xdr:col>
      <xdr:colOff>704850</xdr:colOff>
      <xdr:row>299</xdr:row>
      <xdr:rowOff>133350</xdr:rowOff>
    </xdr:to>
    <xdr:graphicFrame>
      <xdr:nvGraphicFramePr>
        <xdr:cNvPr id="7" name="Chart 17"/>
        <xdr:cNvGraphicFramePr/>
      </xdr:nvGraphicFramePr>
      <xdr:xfrm>
        <a:off x="0" y="43862625"/>
        <a:ext cx="6867525" cy="5410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datamarket.com/data/set/1459/household-electrification-rate-of-households#!display=line&amp;ds=1459!g6f=6.12.15.n.g" TargetMode="External" /><Relationship Id="rId2" Type="http://schemas.openxmlformats.org/officeDocument/2006/relationships/hyperlink" Target="http://www.reeep.org/file_upload/296_tmpphpW16ncV.pdf" TargetMode="External" /><Relationship Id="rId3" Type="http://schemas.openxmlformats.org/officeDocument/2006/relationships/hyperlink" Target="http://www.reegle.info/countries" TargetMode="External" /><Relationship Id="rId4" Type="http://schemas.openxmlformats.org/officeDocument/2006/relationships/hyperlink" Target="http://www.ngdc.noaa.gov/dmsp/pubs/Elvidge_WINTD_20091022.pdf" TargetMode="External" /><Relationship Id="rId5" Type="http://schemas.openxmlformats.org/officeDocument/2006/relationships/hyperlink" Target="http://data.un.org/Data.aspx?d=POP&amp;f=tableCode%3a1" TargetMode="External" /><Relationship Id="rId6" Type="http://schemas.openxmlformats.org/officeDocument/2006/relationships/hyperlink" Target="http://www.worldenergyoutlook.org/resources/energydevelopment/accesstoelectricity/" TargetMode="External" /><Relationship Id="rId7" Type="http://schemas.openxmlformats.org/officeDocument/2006/relationships/hyperlink" Target="http://www.who.int/whr/2006/annex/en/index.html"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37"/>
  <sheetViews>
    <sheetView tabSelected="1" zoomScalePageLayoutView="0" workbookViewId="0" topLeftCell="A1">
      <selection activeCell="D33" sqref="D33"/>
    </sheetView>
  </sheetViews>
  <sheetFormatPr defaultColWidth="9.140625" defaultRowHeight="12.75"/>
  <cols>
    <col min="1" max="1" width="41.8515625" style="346" customWidth="1"/>
    <col min="2" max="2" width="81.57421875" style="377" customWidth="1"/>
    <col min="3" max="3" width="15.57421875" style="346" customWidth="1"/>
    <col min="4" max="4" width="14.140625" style="346" customWidth="1"/>
    <col min="5" max="5" width="10.8515625" style="346" customWidth="1"/>
    <col min="6" max="6" width="10.421875" style="346" customWidth="1"/>
    <col min="7" max="7" width="10.28125" style="346" customWidth="1"/>
    <col min="8" max="8" width="11.00390625" style="346" customWidth="1"/>
    <col min="9" max="9" width="9.140625" style="346" customWidth="1"/>
    <col min="10" max="10" width="16.140625" style="346" customWidth="1"/>
    <col min="11" max="11" width="11.00390625" style="346" customWidth="1"/>
    <col min="12" max="12" width="5.28125" style="346" customWidth="1"/>
    <col min="13" max="16384" width="9.140625" style="346" customWidth="1"/>
  </cols>
  <sheetData>
    <row r="1" ht="18">
      <c r="A1" s="1" t="s">
        <v>978</v>
      </c>
    </row>
    <row r="2" ht="13.5" thickBot="1"/>
    <row r="3" spans="1:2" ht="26.25" thickBot="1">
      <c r="A3" s="361" t="s">
        <v>742</v>
      </c>
      <c r="B3" s="475"/>
    </row>
    <row r="4" spans="1:2" ht="12.75">
      <c r="A4" s="269"/>
      <c r="B4" s="514"/>
    </row>
    <row r="5" spans="1:2" ht="13.5" thickBot="1">
      <c r="A5" s="269" t="s">
        <v>423</v>
      </c>
      <c r="B5" s="515"/>
    </row>
    <row r="6" spans="1:2" ht="25.5">
      <c r="A6" s="376" t="s">
        <v>761</v>
      </c>
      <c r="B6" s="553">
        <f>B23</f>
        <v>0</v>
      </c>
    </row>
    <row r="7" spans="1:39" s="531" customFormat="1" ht="12.75">
      <c r="A7" s="376" t="s">
        <v>439</v>
      </c>
      <c r="B7" s="397"/>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row>
    <row r="8" spans="1:2" ht="12.75">
      <c r="A8" s="279" t="s">
        <v>422</v>
      </c>
      <c r="B8" s="396"/>
    </row>
    <row r="9" spans="1:2" ht="12.75">
      <c r="A9" s="279" t="s">
        <v>440</v>
      </c>
      <c r="B9" s="397"/>
    </row>
    <row r="10" spans="1:2" ht="13.5" thickBot="1">
      <c r="A10" s="279" t="s">
        <v>441</v>
      </c>
      <c r="B10" s="398"/>
    </row>
    <row r="11" spans="1:2" ht="12.75">
      <c r="A11" s="376"/>
      <c r="B11" s="516"/>
    </row>
    <row r="12" spans="1:12" ht="13.5" thickBot="1">
      <c r="A12" s="269" t="s">
        <v>424</v>
      </c>
      <c r="B12" s="517"/>
      <c r="C12" s="378"/>
      <c r="D12" s="378"/>
      <c r="E12" s="378"/>
      <c r="F12" s="378"/>
      <c r="G12" s="378"/>
      <c r="H12" s="378"/>
      <c r="I12" s="378"/>
      <c r="J12" s="378"/>
      <c r="K12" s="378"/>
      <c r="L12" s="378"/>
    </row>
    <row r="13" spans="1:12" ht="12.75">
      <c r="A13" s="279" t="s">
        <v>437</v>
      </c>
      <c r="B13" s="401"/>
      <c r="C13" s="379"/>
      <c r="D13" s="378"/>
      <c r="E13" s="378"/>
      <c r="F13" s="378"/>
      <c r="G13" s="378"/>
      <c r="H13" s="378"/>
      <c r="I13" s="378"/>
      <c r="J13" s="378"/>
      <c r="K13" s="378"/>
      <c r="L13" s="378"/>
    </row>
    <row r="14" spans="1:12" ht="12.75">
      <c r="A14" s="279" t="s">
        <v>418</v>
      </c>
      <c r="B14" s="396"/>
      <c r="C14" s="379"/>
      <c r="D14" s="378"/>
      <c r="E14" s="378"/>
      <c r="F14" s="378"/>
      <c r="G14" s="378"/>
      <c r="H14" s="378"/>
      <c r="I14" s="378"/>
      <c r="J14" s="378"/>
      <c r="K14" s="378"/>
      <c r="L14" s="378"/>
    </row>
    <row r="15" spans="1:12" ht="12.75">
      <c r="A15" s="279" t="s">
        <v>419</v>
      </c>
      <c r="B15" s="396"/>
      <c r="C15" s="379"/>
      <c r="D15" s="378"/>
      <c r="E15" s="378"/>
      <c r="F15" s="378"/>
      <c r="G15" s="378"/>
      <c r="H15" s="378"/>
      <c r="I15" s="378"/>
      <c r="J15" s="378"/>
      <c r="K15" s="378"/>
      <c r="L15" s="378"/>
    </row>
    <row r="16" spans="1:12" ht="12.75">
      <c r="A16" s="399" t="s">
        <v>420</v>
      </c>
      <c r="B16" s="396"/>
      <c r="C16" s="378"/>
      <c r="D16" s="378"/>
      <c r="E16" s="378"/>
      <c r="F16" s="378"/>
      <c r="G16" s="378"/>
      <c r="H16" s="378"/>
      <c r="I16" s="378"/>
      <c r="J16" s="378"/>
      <c r="K16" s="378"/>
      <c r="L16" s="378"/>
    </row>
    <row r="17" spans="1:2" ht="12.75">
      <c r="A17" s="279" t="s">
        <v>421</v>
      </c>
      <c r="B17" s="396"/>
    </row>
    <row r="18" spans="1:2" ht="13.5" thickBot="1">
      <c r="A18" s="400" t="s">
        <v>438</v>
      </c>
      <c r="B18" s="398"/>
    </row>
    <row r="19" spans="1:2" ht="12.75">
      <c r="A19" s="276"/>
      <c r="B19" s="518"/>
    </row>
    <row r="21" spans="1:4" ht="12.75">
      <c r="A21" s="579" t="s">
        <v>1036</v>
      </c>
      <c r="B21" s="580"/>
      <c r="C21" s="580"/>
      <c r="D21" s="580"/>
    </row>
    <row r="22" spans="1:4" ht="63.75">
      <c r="A22" s="580" t="s">
        <v>869</v>
      </c>
      <c r="B22" s="580" t="s">
        <v>759</v>
      </c>
      <c r="C22" s="580" t="s">
        <v>755</v>
      </c>
      <c r="D22" s="580" t="s">
        <v>870</v>
      </c>
    </row>
    <row r="23" spans="1:4" ht="12.75">
      <c r="A23" s="584" t="s">
        <v>861</v>
      </c>
      <c r="B23" s="581">
        <f>IF(ISERROR(INDEX(Countrydata!B$8:B$206,MATCH($A$23,Country,0))),"Select country",INDEX(Countrydata!B$8:B$206,MATCH($A$23,Country,0)))</f>
        <v>0</v>
      </c>
      <c r="C23" s="582">
        <f>IF(ISERROR(INDEX(Countrydata!D$8:D$206,MATCH('Step1-Country data'!$A$23,Country,0))),"Select country",INDEX(Countrydata!D$8:D$206,MATCH('Step1-Country data'!$A$23,Country,0)))</f>
        <v>0.8291907906532288</v>
      </c>
      <c r="D23" s="583">
        <f>IF(ISERROR(INDEX(Countrydata!C$8:C$206,MATCH('Step1-Country data'!$A$23,Country,0))),"Select country",INDEX(Countrydata!C$8:C$206,MATCH('Step1-Country data'!$A$23,Country,0)))</f>
        <v>100</v>
      </c>
    </row>
    <row r="24" spans="1:2" ht="12.75">
      <c r="A24" s="329" t="s">
        <v>979</v>
      </c>
      <c r="B24" s="346"/>
    </row>
    <row r="25" ht="12.75">
      <c r="A25" s="346" t="s">
        <v>760</v>
      </c>
    </row>
    <row r="27" ht="12.75">
      <c r="A27" s="329" t="s">
        <v>981</v>
      </c>
    </row>
    <row r="28" ht="12.75">
      <c r="A28" s="329" t="s">
        <v>982</v>
      </c>
    </row>
    <row r="30" ht="12.75">
      <c r="A30" s="329" t="s">
        <v>980</v>
      </c>
    </row>
    <row r="31" ht="12.75">
      <c r="C31" s="507"/>
    </row>
    <row r="32" spans="1:2" ht="12.75">
      <c r="A32" s="214" t="s">
        <v>26</v>
      </c>
      <c r="B32" s="540"/>
    </row>
    <row r="33" ht="165.75">
      <c r="A33" s="215" t="s">
        <v>1024</v>
      </c>
    </row>
    <row r="34" ht="140.25">
      <c r="A34" s="215" t="s">
        <v>27</v>
      </c>
    </row>
    <row r="36" ht="12.75">
      <c r="A36" s="363" t="s">
        <v>583</v>
      </c>
    </row>
    <row r="37" ht="12.75">
      <c r="A37" s="36" t="s">
        <v>1026</v>
      </c>
    </row>
  </sheetData>
  <sheetProtection password="BC6F" sheet="1"/>
  <dataValidations count="3">
    <dataValidation type="list" allowBlank="1" showInputMessage="1" showErrorMessage="1" promptTitle="Country" prompt="Select country from drop-down list" errorTitle="Select country" error="Select country" sqref="A23">
      <formula1>Country</formula1>
    </dataValidation>
    <dataValidation allowBlank="1" showInputMessage="1" showErrorMessage="1" errorTitle="Input error" error="Use digits and decimal mark only." sqref="B7:B10"/>
    <dataValidation type="decimal" allowBlank="1" showInputMessage="1" showErrorMessage="1" promptTitle="Input cell" prompt="Use digits and decimal mark only in this cell." errorTitle="Input error" error="Use digits and decimal mark only in this cell." sqref="B6">
      <formula1>-999999999999999000</formula1>
      <formula2>999999999999999000</formula2>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r:id="rId1"/>
  <headerFooter>
    <oddFooter>&amp;L&amp;A
Printed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D15" sqref="D15"/>
    </sheetView>
  </sheetViews>
  <sheetFormatPr defaultColWidth="9.140625" defaultRowHeight="12.75"/>
  <cols>
    <col min="1" max="1" width="39.8515625" style="346" customWidth="1"/>
    <col min="2" max="2" width="11.8515625" style="367" customWidth="1"/>
    <col min="3" max="3" width="12.8515625" style="346" customWidth="1"/>
    <col min="4" max="4" width="29.28125" style="346" customWidth="1"/>
    <col min="5" max="5" width="15.00390625" style="421" customWidth="1"/>
    <col min="6" max="6" width="14.00390625" style="346" customWidth="1"/>
    <col min="7" max="7" width="12.7109375" style="346" customWidth="1"/>
    <col min="8" max="8" width="12.8515625" style="346" customWidth="1"/>
    <col min="9" max="9" width="14.57421875" style="346" customWidth="1"/>
    <col min="10" max="10" width="14.421875" style="346" customWidth="1"/>
    <col min="11" max="11" width="16.140625" style="346" customWidth="1"/>
    <col min="12" max="12" width="8.00390625" style="346" customWidth="1"/>
    <col min="13" max="13" width="9.140625" style="346" customWidth="1"/>
    <col min="14" max="14" width="9.140625" style="346" hidden="1" customWidth="1"/>
    <col min="15" max="16384" width="9.140625" style="346" customWidth="1"/>
  </cols>
  <sheetData>
    <row r="1" spans="1:2" ht="12.75">
      <c r="A1" s="405" t="s">
        <v>443</v>
      </c>
      <c r="B1" s="532"/>
    </row>
    <row r="2" spans="1:12" ht="30" customHeight="1">
      <c r="A2" s="690">
        <f>IF(ISNA(MATCH("n",N7:N46,0)),"","
The Estimated Hg input (or equivalent inserted IL2 results) marked in red colour is very high compared to previous observations. Data may be correct, but please confirm your activity rate data (or inserted IL2 data).")</f>
      </c>
      <c r="B2" s="691"/>
      <c r="C2" s="691"/>
      <c r="D2" s="691"/>
      <c r="E2" s="691"/>
      <c r="F2" s="691"/>
      <c r="G2" s="691"/>
      <c r="H2" s="691"/>
      <c r="I2" s="691"/>
      <c r="J2" s="691"/>
      <c r="K2" s="691"/>
      <c r="L2" s="692"/>
    </row>
    <row r="3" spans="1:12" s="368" customFormat="1" ht="38.25" customHeight="1">
      <c r="A3" s="266" t="s">
        <v>323</v>
      </c>
      <c r="B3" s="508" t="s">
        <v>381</v>
      </c>
      <c r="C3" s="272" t="s">
        <v>518</v>
      </c>
      <c r="D3" s="266"/>
      <c r="E3" s="422" t="s">
        <v>373</v>
      </c>
      <c r="F3" s="687" t="s">
        <v>379</v>
      </c>
      <c r="G3" s="688"/>
      <c r="H3" s="688"/>
      <c r="I3" s="688"/>
      <c r="J3" s="688"/>
      <c r="K3" s="689"/>
      <c r="L3" s="266"/>
    </row>
    <row r="4" spans="1:13" ht="38.25">
      <c r="A4" s="269"/>
      <c r="B4" s="270" t="str">
        <f>quest</f>
        <v>Y/N/?</v>
      </c>
      <c r="C4" s="267" t="s">
        <v>496</v>
      </c>
      <c r="D4" s="272" t="s">
        <v>35</v>
      </c>
      <c r="E4" s="423" t="s">
        <v>378</v>
      </c>
      <c r="F4" s="273" t="s">
        <v>38</v>
      </c>
      <c r="G4" s="273" t="s">
        <v>39</v>
      </c>
      <c r="H4" s="273" t="s">
        <v>40</v>
      </c>
      <c r="I4" s="460" t="s">
        <v>521</v>
      </c>
      <c r="J4" s="267" t="s">
        <v>42</v>
      </c>
      <c r="K4" s="267" t="s">
        <v>380</v>
      </c>
      <c r="L4" s="266" t="s">
        <v>372</v>
      </c>
      <c r="M4" s="329" t="s">
        <v>56</v>
      </c>
    </row>
    <row r="5" spans="1:14" ht="17.25" customHeight="1">
      <c r="A5" s="269"/>
      <c r="B5" s="351"/>
      <c r="C5" s="267"/>
      <c r="D5" s="264" t="s">
        <v>527</v>
      </c>
      <c r="E5" s="312"/>
      <c r="F5" s="428" t="str">
        <f>IF('Step5-Waste treatment+recycling'!B4=yes,trans1,IF('Step5-Waste treatment+recycling'!B4=no,trans2,trans3))</f>
        <v>Answer Y or N in cell B4 in the sheet 'Step5 - Waste treatment + recycling'</v>
      </c>
      <c r="G5" s="429"/>
      <c r="H5" s="429"/>
      <c r="I5" s="429"/>
      <c r="J5" s="430"/>
      <c r="K5" s="284"/>
      <c r="L5" s="266"/>
      <c r="M5" s="492"/>
      <c r="N5" s="329"/>
    </row>
    <row r="6" spans="1:14" ht="26.25" thickBot="1">
      <c r="A6" s="269" t="s">
        <v>405</v>
      </c>
      <c r="B6" s="436"/>
      <c r="C6" s="413"/>
      <c r="D6" s="265"/>
      <c r="E6" s="265"/>
      <c r="F6" s="265"/>
      <c r="G6" s="265"/>
      <c r="H6" s="265"/>
      <c r="I6" s="265"/>
      <c r="J6" s="265"/>
      <c r="K6" s="265"/>
      <c r="L6" s="277"/>
      <c r="M6" s="492"/>
      <c r="N6" s="329"/>
    </row>
    <row r="7" spans="1:14" ht="13.5" thickBot="1">
      <c r="A7" s="434" t="s">
        <v>444</v>
      </c>
      <c r="B7" s="437"/>
      <c r="C7" s="435"/>
      <c r="D7" s="277"/>
      <c r="E7" s="488" t="str">
        <f>IF(AND($B7&lt;&gt;no,$B7&lt;&gt;yes,$B7&lt;&gt;que),pres,IF($B7=yes,'5-6 Other int use'!K7,IF($B7=no,"-",IF($B7=que,que,pres))))</f>
        <v>Present?</v>
      </c>
      <c r="F7" s="425" t="str">
        <f>IF($E7=pres,pres,IF(OR('Step5-Waste treatment+recycling'!$B$4=yes,'Step5-Waste treatment+recycling'!$B$4=no),IF(OR($B7=yes,$B7=yes,$B7=yes,),'5-6 Other int use'!V6,IF(AND($B7=no,$B7=no,$B7=no),"-",IF(OR($B7=que,$B7=que,$B7=que),que,pres))),SeF4))</f>
        <v>Present?</v>
      </c>
      <c r="G7" s="425" t="str">
        <f>IF($E7=pres,pres,IF(OR('Step5-Waste treatment+recycling'!$B$4=yes,'Step5-Waste treatment+recycling'!$B$4=no),IF(OR($B7=yes,$B7=yes,$B7=yes,),'5-6 Other int use'!W6,IF(AND($B7=no,$B7=no,$B7=no),"-",IF(OR($B7=que,$B7=que,$B7=que),que,pres))),SeF4))</f>
        <v>Present?</v>
      </c>
      <c r="H7" s="425" t="str">
        <f>IF($E7=pres,pres,IF(OR('Step5-Waste treatment+recycling'!$B$4=yes,'Step5-Waste treatment+recycling'!$B$4=no),IF(OR($B7=yes,$B7=yes,$B7=yes,),'5-6 Other int use'!X6,IF(AND($B7=no,$B7=no,$B7=no),"-",IF(OR($B7=que,$B7=que,$B7=que),que,pres))),SeF4))</f>
        <v>Present?</v>
      </c>
      <c r="I7" s="425" t="str">
        <f>IF($E7=pres,pres,IF(OR('Step5-Waste treatment+recycling'!$B$4=yes,'Step5-Waste treatment+recycling'!$B$4=no),IF(OR($B7=yes,$B7=yes,$B7=yes,),'5-6 Other int use'!Y6,IF(AND($B7=no,$B7=no,$B7=no),"-",IF(OR($B7=que,$B7=que,$B7=que),que,pres))),SeF4))</f>
        <v>Present?</v>
      </c>
      <c r="J7" s="425" t="str">
        <f>IF($E7=pres,pres,IF(OR('Step5-Waste treatment+recycling'!$B$4=yes,'Step5-Waste treatment+recycling'!$B$4=no),IF(OR($B7=yes,$B7=yes,$B7=yes,),'5-6 Other int use'!Z6,IF(AND($B7=no,$B7=no,$B7=no),"-",IF(OR($B7=que,$B7=que,$B7=que),que,pres))),SeF4))</f>
        <v>Present?</v>
      </c>
      <c r="K7" s="425" t="str">
        <f>IF($E7=pres,pres,IF(OR('Step5-Waste treatment+recycling'!$B$4=yes,'Step5-Waste treatment+recycling'!$B$4=no),IF(OR($B7=yes,$B7=yes,$B7=yes,),'5-6 Other int use'!AA6,IF(AND($B7=no,$B7=no,$B7=no),"-",IF(OR($B7=que,$B7=que,$B7=que),que,pres))),SeF4))</f>
        <v>Present?</v>
      </c>
      <c r="L7" s="277" t="s">
        <v>221</v>
      </c>
      <c r="M7" s="492"/>
      <c r="N7" s="346">
        <f>INDEX('Range-thresholds'!$G$6:$G$72,MATCH(A7,'Range-thresholds'!$A$6:$A$72,0))</f>
      </c>
    </row>
    <row r="8" spans="1:13" ht="12.75">
      <c r="A8" s="376" t="s">
        <v>415</v>
      </c>
      <c r="B8" s="442"/>
      <c r="C8" s="443">
        <f>'Step1-Country data'!$B$6</f>
        <v>0</v>
      </c>
      <c r="D8" s="277" t="s">
        <v>1015</v>
      </c>
      <c r="E8" s="484"/>
      <c r="F8" s="426" t="str">
        <f>IF(OR('Step5-Waste treatment+recycling'!$B$4=yes,'Step5-Waste treatment+recycling'!$B$4=no),IF($B$7=yes,'5-6 Other int use'!V7,IF($B$7=no,"-",IF($B$7=que,que,pres))),SeF4)</f>
        <v>See Step5 F4</v>
      </c>
      <c r="G8" s="426" t="str">
        <f>IF(OR('Step5-Waste treatment+recycling'!$B$4=yes,'Step5-Waste treatment+recycling'!$B$4=no),IF($B$7=yes,'5-6 Other int use'!W7,IF($B$7=no,"-",IF($B$7=que,que,pres))),SeF4)</f>
        <v>See Step5 F4</v>
      </c>
      <c r="H8" s="426" t="str">
        <f>IF(OR('Step5-Waste treatment+recycling'!$B$4=yes,'Step5-Waste treatment+recycling'!$B$4=no),IF($B$7=yes,'5-6 Other int use'!X7,IF($B$7=no,"-",IF($B$7=que,que,pres))),SeF4)</f>
        <v>See Step5 F4</v>
      </c>
      <c r="I8" s="426" t="str">
        <f>IF(OR('Step5-Waste treatment+recycling'!$B$4=yes,'Step5-Waste treatment+recycling'!$B$4=no),IF($B$7=yes,'5-6 Other int use'!Y7,IF($B$7=no,"-",IF($B$7=que,que,pres))),SeF4)</f>
        <v>See Step5 F4</v>
      </c>
      <c r="J8" s="426" t="str">
        <f>IF(OR('Step5-Waste treatment+recycling'!$B$4=yes,'Step5-Waste treatment+recycling'!$B$4=no),IF($B$7=yes,'5-6 Other int use'!Z7,IF($B$7=no,"-",IF($B$7=que,que,pres))),SeF4)</f>
        <v>See Step5 F4</v>
      </c>
      <c r="K8" s="426" t="str">
        <f>IF(OR('Step5-Waste treatment+recycling'!$B$4=yes,'Step5-Waste treatment+recycling'!$B$4=no),IF($B$7=yes,'5-6 Other int use'!AA7,IF($B$7=no,"-",IF($B$7=que,que,pres))),SeF4)</f>
        <v>See Step5 F4</v>
      </c>
      <c r="L8" s="277"/>
      <c r="M8" s="492"/>
    </row>
    <row r="9" spans="1:13" ht="12.75">
      <c r="A9" s="376" t="s">
        <v>417</v>
      </c>
      <c r="B9" s="444"/>
      <c r="C9" s="443">
        <f>'Step1-Country data'!$B$6</f>
        <v>0</v>
      </c>
      <c r="D9" s="277" t="s">
        <v>1015</v>
      </c>
      <c r="E9" s="485"/>
      <c r="F9" s="426" t="str">
        <f>IF(OR('Step5-Waste treatment+recycling'!$B$4=yes,'Step5-Waste treatment+recycling'!$B$4=no),IF($B7=yes,'5-6 Other int use'!V8,IF($B7=no,"-",IF($B7=que,que,pres))),SeF4)</f>
        <v>See Step5 F4</v>
      </c>
      <c r="G9" s="426" t="str">
        <f>IF(OR('Step5-Waste treatment+recycling'!$B$4=yes,'Step5-Waste treatment+recycling'!$B$4=no),IF($B7=yes,'5-6 Other int use'!W8,IF($B7=no,"-",IF($B7=que,que,pres))),SeF4)</f>
        <v>See Step5 F4</v>
      </c>
      <c r="H9" s="426" t="str">
        <f>IF(OR('Step5-Waste treatment+recycling'!$B$4=yes,'Step5-Waste treatment+recycling'!$B$4=no),IF($B7=yes,'5-6 Other int use'!X8,IF($B7=no,"-",IF($B7=que,que,pres))),SeF4)</f>
        <v>See Step5 F4</v>
      </c>
      <c r="I9" s="426" t="str">
        <f>IF(OR('Step5-Waste treatment+recycling'!$B$4=yes,'Step5-Waste treatment+recycling'!$B$4=no),IF($B7=yes,'5-6 Other int use'!Y8,IF($B7=no,"-",IF($B7=que,que,pres))),SeF4)</f>
        <v>See Step5 F4</v>
      </c>
      <c r="J9" s="426" t="str">
        <f>IF(OR('Step5-Waste treatment+recycling'!$B$4=yes,'Step5-Waste treatment+recycling'!$B$4=no),IF($B7=yes,'5-6 Other int use'!Z8,IF($B7=no,"-",IF($B7=que,que,pres))),SeF4)</f>
        <v>See Step5 F4</v>
      </c>
      <c r="K9" s="426" t="str">
        <f>IF(OR('Step5-Waste treatment+recycling'!$B$4=yes,'Step5-Waste treatment+recycling'!$B$4=no),IF($B7=yes,'5-6 Other int use'!AA8,IF($B7=no,"-",IF($B7=que,que,pres))),SeF4)</f>
        <v>See Step5 F4</v>
      </c>
      <c r="L9" s="277"/>
      <c r="M9" s="492"/>
    </row>
    <row r="10" spans="1:13" ht="12.75">
      <c r="A10" s="376" t="s">
        <v>416</v>
      </c>
      <c r="B10" s="444"/>
      <c r="C10" s="443">
        <f>'Step1-Country data'!$B$6</f>
        <v>0</v>
      </c>
      <c r="D10" s="277" t="s">
        <v>1015</v>
      </c>
      <c r="E10" s="484"/>
      <c r="F10" s="426" t="str">
        <f>IF(OR('Step5-Waste treatment+recycling'!$B$4=yes,'Step5-Waste treatment+recycling'!$B$4=no),IF($B7=yes,'5-6 Other int use'!V11,IF($B7=no,"-",IF($B7=que,que,pres))),SeF4)</f>
        <v>See Step5 F4</v>
      </c>
      <c r="G10" s="426" t="str">
        <f>IF(OR('Step5-Waste treatment+recycling'!$B$4=yes,'Step5-Waste treatment+recycling'!$B$4=no),IF($B7=yes,'5-6 Other int use'!W11,IF($B7=no,"-",IF($B7=que,que,pres))),SeF4)</f>
        <v>See Step5 F4</v>
      </c>
      <c r="H10" s="426" t="str">
        <f>IF(OR('Step5-Waste treatment+recycling'!$B$4=yes,'Step5-Waste treatment+recycling'!$B$4=no),IF($B7=yes,'5-6 Other int use'!X11,IF($B7=no,"-",IF($B7=que,que,pres))),SeF4)</f>
        <v>See Step5 F4</v>
      </c>
      <c r="I10" s="426" t="str">
        <f>IF(OR('Step5-Waste treatment+recycling'!$B$4=yes,'Step5-Waste treatment+recycling'!$B$4=no),IF($B7=yes,'5-6 Other int use'!Y11,IF($B7=no,"-",IF($B7=que,que,pres))),SeF4)</f>
        <v>See Step5 F4</v>
      </c>
      <c r="J10" s="426" t="str">
        <f>IF(OR('Step5-Waste treatment+recycling'!$B$4=yes,'Step5-Waste treatment+recycling'!$B$4=no),IF($B7=yes,'5-6 Other int use'!Z11,IF($B7=no,"-",IF($B7=que,que,pres))),SeF4)</f>
        <v>See Step5 F4</v>
      </c>
      <c r="K10" s="426" t="str">
        <f>IF(OR('Step5-Waste treatment+recycling'!$B$4=yes,'Step5-Waste treatment+recycling'!$B$4=no),IF($B7=yes,'5-6 Other int use'!AA11,IF($B7=no,"-",IF($B7=que,que,pres))),SeF4)</f>
        <v>See Step5 F4</v>
      </c>
      <c r="L10" s="277"/>
      <c r="M10" s="492"/>
    </row>
    <row r="11" spans="1:14" ht="12.75">
      <c r="A11" s="376"/>
      <c r="B11" s="444"/>
      <c r="C11" s="537">
        <f>'Step1-Country data'!C23</f>
        <v>0.8291907906532288</v>
      </c>
      <c r="D11" s="352" t="s">
        <v>1016</v>
      </c>
      <c r="E11" s="486"/>
      <c r="F11" s="536"/>
      <c r="G11" s="536"/>
      <c r="H11" s="426"/>
      <c r="I11" s="426"/>
      <c r="J11" s="426"/>
      <c r="K11" s="426"/>
      <c r="L11" s="277"/>
      <c r="M11" s="492"/>
      <c r="N11" s="329"/>
    </row>
    <row r="12" spans="1:14" ht="12.75">
      <c r="A12" s="376"/>
      <c r="B12" s="277"/>
      <c r="C12" s="362"/>
      <c r="D12" s="362"/>
      <c r="E12" s="486"/>
      <c r="F12" s="362"/>
      <c r="G12" s="362"/>
      <c r="H12" s="538"/>
      <c r="I12" s="265"/>
      <c r="J12" s="433"/>
      <c r="K12" s="265"/>
      <c r="L12" s="277"/>
      <c r="M12" s="492"/>
      <c r="N12" s="329"/>
    </row>
    <row r="13" spans="1:14" s="329" customFormat="1" ht="13.5" thickBot="1">
      <c r="A13" s="424" t="s">
        <v>460</v>
      </c>
      <c r="B13" s="431" t="str">
        <f>IF(OR(AND(B14&lt;&gt;no,B14&lt;&gt;yes,B14&lt;&gt;que),AND(B15&lt;&gt;no,B15&lt;&gt;yes,B15&lt;&gt;que),AND(B16&lt;&gt;no,B16&lt;&gt;yes,B16&lt;&gt;que)),pres,IF(OR($B14=yes,$B15=yes,$B16=yes),yes,IF(AND($B14=no,$B15=no,$B16=no),no,IF(OR($B14=que,$B15=que,$B16=que),que,pres))))</f>
        <v>Present?</v>
      </c>
      <c r="C13" s="432">
        <f>SUM(C14:C16)</f>
        <v>0</v>
      </c>
      <c r="D13" s="277"/>
      <c r="E13" s="488" t="str">
        <f>IF(OR(AND(B14&lt;&gt;no,B14&lt;&gt;yes,B14&lt;&gt;que),AND(B15&lt;&gt;no,B15&lt;&gt;yes,B15&lt;&gt;que),AND(B16&lt;&gt;no,B16&lt;&gt;yes,B16&lt;&gt;que)),pres,IF(OR($B14=yes,$B15=yes,$B16=yes),'5-5 Cons prod'!K12,IF(AND($B14=no,$B15=no,$B16=no),"-",IF(OR($B14=que,$B15=que,$B16=que),que,pres))))</f>
        <v>Present?</v>
      </c>
      <c r="F13" s="425" t="str">
        <f>IF($E13=pres,pres,IF(OR('Step5-Waste treatment+recycling'!$B$4=yes,'Step5-Waste treatment+recycling'!$B$4=no),IF(OR($B14=yes,$B15=yes,$B16=yes,),SUM('5-5 Cons prod'!V13:V15),IF(AND($B14=no,$B15=no,$B16=no),"-",IF(OR($B14=que,$B15=que,$B16=que),que,pres))),SeF4))</f>
        <v>Present?</v>
      </c>
      <c r="G13" s="425" t="str">
        <f>IF($E13=pres,pres,IF(OR('Step5-Waste treatment+recycling'!$B$4=yes,'Step5-Waste treatment+recycling'!$B$4=no),IF(OR($B14=yes,$B15=yes,$B16=yes,),SUM('5-5 Cons prod'!W13:W15),IF(AND($B14=no,$B15=no,$B16=no),"-",IF(OR($B14=que,$B15=que,$B16=que),que,pres))),SeF4))</f>
        <v>Present?</v>
      </c>
      <c r="H13" s="425" t="str">
        <f>IF($E13=pres,pres,IF(OR('Step5-Waste treatment+recycling'!$B$4=yes,'Step5-Waste treatment+recycling'!$B$4=no),IF(OR($B14=yes,$B15=yes,$B16=yes,),SUM('5-5 Cons prod'!X13:X15),IF(AND($B14=no,$B15=no,$B16=no),"-",IF(OR($B14=que,$B15=que,$B16=que),que,pres))),SeF4))</f>
        <v>Present?</v>
      </c>
      <c r="I13" s="425" t="str">
        <f>IF($E13=pres,pres,IF(OR('Step5-Waste treatment+recycling'!$B$4=yes,'Step5-Waste treatment+recycling'!$B$4=no),IF(OR($B14=yes,$B15=yes,$B16=yes,),SUM('5-5 Cons prod'!Y13:Y15),IF(AND($B14=no,$B15=no,$B16=no),"-",IF(OR($B14=que,$B15=que,$B16=que),que,pres))),SeF4))</f>
        <v>Present?</v>
      </c>
      <c r="J13" s="425" t="str">
        <f>IF($E13=pres,pres,IF(OR('Step5-Waste treatment+recycling'!$B$4=yes,'Step5-Waste treatment+recycling'!$B$4=no),IF(OR($B14=yes,$B15=yes,$B16=yes,),SUM('5-5 Cons prod'!Z13:Z15),IF(AND($B14=no,$B15=no,$B16=no),"-",IF(OR($B14=que,$B15=que,$B16=que),que,pres))),SeF4))</f>
        <v>Present?</v>
      </c>
      <c r="K13" s="425" t="str">
        <f>IF($E13=pres,pres,IF(OR('Step5-Waste treatment+recycling'!$B$4=yes,'Step5-Waste treatment+recycling'!$B$4=no),IF(OR($B14=yes,$B15=yes,$B16=yes,),SUM('5-5 Cons prod'!AA13:AA15),IF(AND($B14=no,$B15=no,$B16=no),"-",IF(OR($B14=que,$B15=que,$B16=que),que,pres))),SeF4))</f>
        <v>Present?</v>
      </c>
      <c r="L13" s="277" t="s">
        <v>91</v>
      </c>
      <c r="M13" s="492"/>
      <c r="N13" s="346">
        <f>INDEX('Range-thresholds'!$G$6:$G$72,MATCH(A13,'Range-thresholds'!$A$6:$A$72,0))</f>
      </c>
    </row>
    <row r="14" spans="1:13" ht="12.75">
      <c r="A14" s="279" t="s">
        <v>406</v>
      </c>
      <c r="B14" s="394"/>
      <c r="C14" s="387"/>
      <c r="D14" s="352" t="s">
        <v>1017</v>
      </c>
      <c r="E14" s="485" t="str">
        <f>IF(OR($B14=yes,$B14=yes),'5-5 Cons prod'!K13,IF(OR($B14=no,$B14=no),"-",IF($B14=que,que,pres)))</f>
        <v>Present?</v>
      </c>
      <c r="F14" s="284"/>
      <c r="G14" s="284"/>
      <c r="H14" s="284"/>
      <c r="I14" s="284"/>
      <c r="J14" s="284"/>
      <c r="K14" s="284"/>
      <c r="L14" s="277"/>
      <c r="M14" s="492"/>
    </row>
    <row r="15" spans="1:13" ht="25.5">
      <c r="A15" s="279" t="s">
        <v>407</v>
      </c>
      <c r="B15" s="388"/>
      <c r="C15" s="389"/>
      <c r="D15" s="352" t="s">
        <v>1017</v>
      </c>
      <c r="E15" s="484" t="str">
        <f>IF(OR($B15=yes,$B15=yes),'5-5 Cons prod'!K14+'5-5 Cons prod'!K16,IF(OR($B15=no,$B15=no),"-",IF($B15=que,que,pres)))</f>
        <v>Present?</v>
      </c>
      <c r="F15" s="284"/>
      <c r="G15" s="284"/>
      <c r="H15" s="284"/>
      <c r="I15" s="284"/>
      <c r="J15" s="284"/>
      <c r="K15" s="284"/>
      <c r="L15" s="277"/>
      <c r="M15" s="492"/>
    </row>
    <row r="16" spans="1:13" ht="26.25" thickBot="1">
      <c r="A16" s="279" t="s">
        <v>448</v>
      </c>
      <c r="B16" s="391"/>
      <c r="C16" s="416"/>
      <c r="D16" s="352" t="s">
        <v>1017</v>
      </c>
      <c r="E16" s="485" t="str">
        <f>IF(OR($B16=yes,$B16=yes),'5-5 Cons prod'!K15,IF(OR($B16=no,$B16=no),"-",IF($B16=que,que,pres)))</f>
        <v>Present?</v>
      </c>
      <c r="F16" s="284"/>
      <c r="G16" s="284"/>
      <c r="H16" s="284"/>
      <c r="I16" s="284"/>
      <c r="J16" s="284"/>
      <c r="K16" s="284"/>
      <c r="L16" s="277" t="s">
        <v>91</v>
      </c>
      <c r="M16" s="492"/>
    </row>
    <row r="17" spans="1:13" ht="13.5" thickBot="1">
      <c r="A17" s="376"/>
      <c r="B17" s="438"/>
      <c r="C17" s="439"/>
      <c r="D17" s="277"/>
      <c r="E17" s="484"/>
      <c r="F17" s="284"/>
      <c r="G17" s="284"/>
      <c r="H17" s="284"/>
      <c r="I17" s="284"/>
      <c r="J17" s="284"/>
      <c r="K17" s="284"/>
      <c r="L17" s="277"/>
      <c r="M17" s="492"/>
    </row>
    <row r="18" spans="1:14" ht="13.5" thickBot="1">
      <c r="A18" s="279" t="s">
        <v>115</v>
      </c>
      <c r="B18" s="458"/>
      <c r="C18" s="443">
        <f>'Step1-Country data'!$B$6</f>
        <v>0</v>
      </c>
      <c r="D18" s="277" t="s">
        <v>1015</v>
      </c>
      <c r="E18" s="488" t="str">
        <f>IF(OR($B18=yes,$B18=yes),'5-5 Cons prod'!K20,IF(OR($B18=no,$B18=no),"-",IF($B18=que,que,pres)))</f>
        <v>Present?</v>
      </c>
      <c r="F18" s="426" t="str">
        <f>IF(OR('Step5-Waste treatment+recycling'!$B$4=yes,'Step5-Waste treatment+recycling'!$B$4=no),IF($B18=yes,SUM('5-5 Cons prod'!V21:V23),IF($B18=no,"-",IF($B18=que,que,pres))),SeF4)</f>
        <v>See Step5 F4</v>
      </c>
      <c r="G18" s="426" t="str">
        <f>IF(OR('Step5-Waste treatment+recycling'!$B$4=yes,'Step5-Waste treatment+recycling'!$B$4=yes,'Step5-Waste treatment+recycling'!$B$4=no,'Step5-Waste treatment+recycling'!$B$4=no),IF($B18=yes,SUM('5-5 Cons prod'!W21:W23),IF($B18=no,"-",IF($B18=que,que,pres))),SeF4)</f>
        <v>See Step5 F4</v>
      </c>
      <c r="H18" s="426" t="str">
        <f>IF(OR('Step5-Waste treatment+recycling'!$B$4=yes,'Step5-Waste treatment+recycling'!$B$4=yes,'Step5-Waste treatment+recycling'!$B$4=no,'Step5-Waste treatment+recycling'!$B$4=no),IF($B18=yes,SUM('5-5 Cons prod'!X21:X23),IF($B18=no,"-",IF($B18=que,que,pres))),SeF4)</f>
        <v>See Step5 F4</v>
      </c>
      <c r="I18" s="426" t="str">
        <f>IF(OR('Step5-Waste treatment+recycling'!$B$4=yes,'Step5-Waste treatment+recycling'!$B$4=yes,'Step5-Waste treatment+recycling'!$B$4=no,'Step5-Waste treatment+recycling'!$B$4=no),IF($B18=yes,SUM('5-5 Cons prod'!Y21:Y23),IF($B18=no,"-",IF($B18=que,que,pres))),SeF4)</f>
        <v>See Step5 F4</v>
      </c>
      <c r="J18" s="426" t="str">
        <f>IF(OR('Step5-Waste treatment+recycling'!$B$4=yes,'Step5-Waste treatment+recycling'!$B$4=yes,'Step5-Waste treatment+recycling'!$B$4=no,'Step5-Waste treatment+recycling'!$B$4=no),IF($B18=yes,SUM('5-5 Cons prod'!Z21:Z23),IF($B18=no,"-",IF($B18=que,que,pres))),SeF4)</f>
        <v>See Step5 F4</v>
      </c>
      <c r="K18" s="426" t="str">
        <f>IF(OR('Step5-Waste treatment+recycling'!$B$4=yes,'Step5-Waste treatment+recycling'!$B$4=yes,'Step5-Waste treatment+recycling'!$B$4=no,'Step5-Waste treatment+recycling'!$B$4=no),IF($B18=yes,SUM('5-5 Cons prod'!AA21:AA23),IF($B18=no,"-",IF($B18=que,que,pres))),SeF4)</f>
        <v>See Step5 F4</v>
      </c>
      <c r="L18" s="277" t="s">
        <v>116</v>
      </c>
      <c r="M18" s="492"/>
      <c r="N18" s="346">
        <f>INDEX('Range-thresholds'!$G$6:$G$72,MATCH(A18,'Range-thresholds'!$A$6:$A$72,0))</f>
      </c>
    </row>
    <row r="19" spans="1:13" ht="12.75">
      <c r="A19" s="279"/>
      <c r="B19" s="279"/>
      <c r="C19" s="539">
        <f>'Step1-Country data'!$D$23</f>
        <v>100</v>
      </c>
      <c r="D19" s="352" t="s">
        <v>743</v>
      </c>
      <c r="E19" s="487"/>
      <c r="F19" s="426"/>
      <c r="G19" s="426"/>
      <c r="H19" s="426"/>
      <c r="I19" s="426"/>
      <c r="J19" s="426"/>
      <c r="K19" s="426"/>
      <c r="L19" s="277"/>
      <c r="M19" s="492"/>
    </row>
    <row r="20" spans="1:13" ht="12.75">
      <c r="A20" s="376"/>
      <c r="B20" s="433"/>
      <c r="C20" s="385"/>
      <c r="D20" s="277"/>
      <c r="E20" s="484"/>
      <c r="F20" s="284"/>
      <c r="G20" s="284"/>
      <c r="H20" s="284"/>
      <c r="I20" s="284"/>
      <c r="J20" s="284"/>
      <c r="K20" s="284"/>
      <c r="L20" s="277"/>
      <c r="M20" s="492"/>
    </row>
    <row r="21" spans="1:14" ht="13.5" thickBot="1">
      <c r="A21" s="424" t="s">
        <v>332</v>
      </c>
      <c r="B21" s="431" t="str">
        <f>IF(OR(AND(B22&lt;&gt;no,B22&lt;&gt;yes,B22&lt;&gt;que),AND(B23&lt;&gt;no,B23&lt;&gt;yes,B23&lt;&gt;que),AND(B24&lt;&gt;no,B24&lt;&gt;yes,B24&lt;&gt;que)),pres,IF(OR($B22=yes,$B23=yes,$B24=yes),yes,IF(AND($B22=no,$B23=no,$B24=no),no,IF(OR($B22=que,$B23=que,$B24=que),que,pres))))</f>
        <v>Present?</v>
      </c>
      <c r="C21" s="440">
        <f>SUM(C22:C24)</f>
        <v>0</v>
      </c>
      <c r="D21" s="352" t="s">
        <v>1017</v>
      </c>
      <c r="E21" s="488" t="str">
        <f>IF(OR(AND(B22&lt;&gt;no,B22&lt;&gt;yes,B22&lt;&gt;que),AND(B23&lt;&gt;no,B23&lt;&gt;yes,B23&lt;&gt;que),AND(B24&lt;&gt;no,B24&lt;&gt;yes,B24&lt;&gt;que)),pres,IF(OR($B22=yes,$B23=yes,$B24=yes),'5-5 Cons prod'!K27,IF(AND($B22=no,$B23=no,$B24=no),"-",IF(OR($B22=que,$B23=que,$B24=que),que,pres))))</f>
        <v>Present?</v>
      </c>
      <c r="F21" s="425" t="str">
        <f>IF($E21=pres,pres,IF(OR('Step5-Waste treatment+recycling'!$B$4=yes,'Step5-Waste treatment+recycling'!$B$4=no),IF(OR($B22=yes,$B23=yes,$B24=yes,),SUM('5-5 Cons prod'!V28:V30),IF(AND($B22=no,$B23=no,$B24=no),"-",IF(OR($B22=que,$B23=que,$B24=que),que,pres))),SeF4))</f>
        <v>Present?</v>
      </c>
      <c r="G21" s="425" t="str">
        <f>IF($E21=pres,pres,IF(OR('Step5-Waste treatment+recycling'!$B$4=yes,'Step5-Waste treatment+recycling'!$B$4=no),IF(OR($B22=yes,$B23=yes,$B24=yes,),SUM('5-5 Cons prod'!W28:W30),IF(AND($B22=no,$B23=no,$B24=no),"-",IF(OR($B22=que,$B23=que,$B24=que),que,pres))),SeF4))</f>
        <v>Present?</v>
      </c>
      <c r="H21" s="425" t="str">
        <f>IF($E21=pres,pres,IF(OR('Step5-Waste treatment+recycling'!$B$4=yes,'Step5-Waste treatment+recycling'!$B$4=no),IF(OR($B22=yes,$B23=yes,$B24=yes,),SUM('5-5 Cons prod'!X28:X30),IF(AND($B22=no,$B23=no,$B24=no),"-",IF(OR($B22=que,$B23=que,$B24=que),que,pres))),SeF4))</f>
        <v>Present?</v>
      </c>
      <c r="I21" s="425" t="str">
        <f>IF($E21=pres,pres,IF(OR('Step5-Waste treatment+recycling'!$B$4=yes,'Step5-Waste treatment+recycling'!$B$4=no),IF(OR($B22=yes,$B23=yes,$B24=yes,),SUM('5-5 Cons prod'!Y28:Y30),IF(AND($B22=no,$B23=no,$B24=no),"-",IF(OR($B22=que,$B23=que,$B24=que),que,pres))),SeF4))</f>
        <v>Present?</v>
      </c>
      <c r="J21" s="425" t="str">
        <f>IF($E21=pres,pres,IF(OR('Step5-Waste treatment+recycling'!$B$4=yes,'Step5-Waste treatment+recycling'!$B$4=no),IF(OR($B22=yes,$B23=yes,$B24=yes,),SUM('5-5 Cons prod'!Z28:Z30),IF(AND($B22=no,$B23=no,$B24=no),"-",IF(OR($B22=que,$B23=que,$B24=que),que,pres))),SeF4))</f>
        <v>Present?</v>
      </c>
      <c r="K21" s="425" t="str">
        <f>IF($E21=pres,pres,IF(OR('Step5-Waste treatment+recycling'!$B$4=yes,'Step5-Waste treatment+recycling'!$B$4=no),IF(OR($B22=yes,$B23=yes,$B24=yes,),SUM('5-5 Cons prod'!AA28:AA30),IF(AND($B22=no,$B23=no,$B24=no),"-",IF(OR($B22=que,$B23=que,$B24=que),que,pres))),SeF4))</f>
        <v>Present?</v>
      </c>
      <c r="L21" s="277" t="s">
        <v>121</v>
      </c>
      <c r="M21" s="492"/>
      <c r="N21" s="346">
        <f>INDEX('Range-thresholds'!$G$6:$G$72,MATCH(A21,'Range-thresholds'!$A$6:$A$72,0))</f>
      </c>
    </row>
    <row r="22" spans="1:13" ht="12.75">
      <c r="A22" s="279" t="s">
        <v>122</v>
      </c>
      <c r="B22" s="394"/>
      <c r="C22" s="387"/>
      <c r="D22" s="352" t="s">
        <v>1017</v>
      </c>
      <c r="E22" s="484" t="str">
        <f>IF(OR($B22=yes,$B22=yes),'5-5 Cons prod'!K28,IF(OR($B22=no,$B22=no),"-",IF($B22=que,que,pres)))</f>
        <v>Present?</v>
      </c>
      <c r="F22" s="284"/>
      <c r="G22" s="284"/>
      <c r="H22" s="284"/>
      <c r="I22" s="284"/>
      <c r="J22" s="284"/>
      <c r="K22" s="284"/>
      <c r="L22" s="277"/>
      <c r="M22" s="492"/>
    </row>
    <row r="23" spans="1:13" ht="12.75">
      <c r="A23" s="279" t="s">
        <v>123</v>
      </c>
      <c r="B23" s="388"/>
      <c r="C23" s="389"/>
      <c r="D23" s="352" t="s">
        <v>1017</v>
      </c>
      <c r="E23" s="485" t="str">
        <f>IF(OR($B23=yes,$B23=yes),'5-5 Cons prod'!K29,IF(OR($B23=no,$B23=no),"-",IF($B23=que,que,pres)))</f>
        <v>Present?</v>
      </c>
      <c r="F23" s="284"/>
      <c r="G23" s="284"/>
      <c r="H23" s="284"/>
      <c r="I23" s="284"/>
      <c r="J23" s="284"/>
      <c r="K23" s="284"/>
      <c r="L23" s="277"/>
      <c r="M23" s="492"/>
    </row>
    <row r="24" spans="1:13" ht="26.25" thickBot="1">
      <c r="A24" s="279" t="s">
        <v>411</v>
      </c>
      <c r="B24" s="391"/>
      <c r="C24" s="416"/>
      <c r="D24" s="352" t="s">
        <v>1017</v>
      </c>
      <c r="E24" s="484" t="str">
        <f>IF(OR($B24=yes,$B24=yes),SUM('5-5 Cons prod'!K30:K33),IF(OR($B24=no,$B24=no),"-",IF($B24=que,que,pres)))</f>
        <v>Present?</v>
      </c>
      <c r="F24" s="284"/>
      <c r="G24" s="284"/>
      <c r="H24" s="284"/>
      <c r="I24" s="284"/>
      <c r="J24" s="284"/>
      <c r="K24" s="284"/>
      <c r="L24" s="277"/>
      <c r="M24" s="492"/>
    </row>
    <row r="25" spans="1:13" ht="12.75">
      <c r="A25" s="376"/>
      <c r="B25" s="433"/>
      <c r="C25" s="385"/>
      <c r="D25" s="277"/>
      <c r="E25" s="484"/>
      <c r="F25" s="284"/>
      <c r="G25" s="284"/>
      <c r="H25" s="284"/>
      <c r="I25" s="284"/>
      <c r="J25" s="284"/>
      <c r="K25" s="284"/>
      <c r="L25" s="277"/>
      <c r="M25" s="492"/>
    </row>
    <row r="26" spans="1:14" ht="13.5" thickBot="1">
      <c r="A26" s="424" t="s">
        <v>138</v>
      </c>
      <c r="B26" s="431" t="str">
        <f>IF(OR(AND(B27&lt;&gt;no,B27&lt;&gt;yes,B27&lt;&gt;que),AND(B28&lt;&gt;no,B28&lt;&gt;yes,B28&lt;&gt;que),AND(B29&lt;&gt;no,B29&lt;&gt;yes,B29&lt;&gt;que)),pres,IF(OR($B27=yes,$B28=yes,$B29=yes),yes,IF(AND($B27=no,$B28=no,$B29=no),no,IF(OR($B27=que,$B28=que,$B29=que),que,pres))))</f>
        <v>Present?</v>
      </c>
      <c r="C26" s="432">
        <f>SUM(C27:C29)</f>
        <v>0</v>
      </c>
      <c r="D26" s="427" t="s">
        <v>487</v>
      </c>
      <c r="E26" s="488" t="str">
        <f>IF(OR(AND(B27&lt;&gt;no,B27&lt;&gt;yes,B27&lt;&gt;que),AND(B28&lt;&gt;no,B28&lt;&gt;yes,B28&lt;&gt;que),AND(B29&lt;&gt;no,B29&lt;&gt;yes,B29&lt;&gt;que)),pres,IF(OR($B27=yes,$B28=yes,$B29=yes),'5-5 Cons prod'!K42,IF(AND($B27=no,$B28=no,$B29=no),"-",IF(OR($B27=que,$B28=que,$B29=que),que,pres))))</f>
        <v>Present?</v>
      </c>
      <c r="F26" s="425" t="str">
        <f>IF($E26=pres,pres,IF(OR('Step5-Waste treatment+recycling'!$B$4=yes,'Step5-Waste treatment+recycling'!$B$4=no),IF(OR($B27=yes,$B28=yes,$B29=yes,),SUM('5-5 Cons prod'!V43:V45),IF(AND($B27=no,$B28=no,$B29=no),"-",IF(OR($B27=que,$B28=que,$B29=que),que,pres))),SeF4))</f>
        <v>Present?</v>
      </c>
      <c r="G26" s="425" t="str">
        <f>IF($E26=pres,pres,IF(OR('Step5-Waste treatment+recycling'!$B$4=yes,'Step5-Waste treatment+recycling'!$B$4=no),IF(OR($B27=yes,$B28=yes,$B29=yes,),SUM('5-5 Cons prod'!W43:W45),IF(AND($B27=no,$B28=no,$B29=no),"-",IF(OR($B27=que,$B28=que,$B29=que),que,pres))),SeF4))</f>
        <v>Present?</v>
      </c>
      <c r="H26" s="425" t="str">
        <f>IF($E26=pres,pres,IF(OR('Step5-Waste treatment+recycling'!$B$4=yes,'Step5-Waste treatment+recycling'!$B$4=no),IF(OR($B27=yes,$B28=yes,$B29=yes,),SUM('5-5 Cons prod'!X43:X45),IF(AND($B27=no,$B28=no,$B29=no),"-",IF(OR($B27=que,$B28=que,$B29=que),que,pres))),SeF4))</f>
        <v>Present?</v>
      </c>
      <c r="I26" s="425" t="str">
        <f>IF($E26=pres,pres,IF(OR('Step5-Waste treatment+recycling'!$B$4=yes,'Step5-Waste treatment+recycling'!$B$4=no),IF(OR($B27=yes,$B28=yes,$B29=yes,),SUM('5-5 Cons prod'!Y43:Y45),IF(AND($B27=no,$B28=no,$B29=no),"-",IF(OR($B27=que,$B28=que,$B29=que),que,pres))),SeF4))</f>
        <v>Present?</v>
      </c>
      <c r="J26" s="425" t="str">
        <f>IF($E26=pres,pres,IF(OR('Step5-Waste treatment+recycling'!$B$4=yes,'Step5-Waste treatment+recycling'!$B$4=no),IF(OR($B27=yes,$B28=yes,$B29=yes,),SUM('5-5 Cons prod'!Z43:Z45),IF(AND($B27=no,$B28=no,$B29=no),"-",IF(OR($B27=que,$B28=que,$B29=que),que,pres))),SeF4))</f>
        <v>Present?</v>
      </c>
      <c r="K26" s="425" t="str">
        <f>IF($E26=pres,pres,IF(OR('Step5-Waste treatment+recycling'!$B$4=yes,'Step5-Waste treatment+recycling'!$B$4=no),IF(OR($B27=yes,$B28=yes,$B29=yes,),SUM('5-5 Cons prod'!AA43:AA45),IF(AND($B27=no,$B28=no,$B29=no),"-",IF(OR($B27=que,$B28=que,$B29=que),que,pres))),SeF4))</f>
        <v>Present?</v>
      </c>
      <c r="L26" s="277" t="s">
        <v>137</v>
      </c>
      <c r="M26" s="492"/>
      <c r="N26" s="346">
        <f>INDEX('Range-thresholds'!$G$6:$G$72,MATCH(A26,'Range-thresholds'!$A$6:$A$72,0))</f>
      </c>
    </row>
    <row r="27" spans="1:13" ht="25.5">
      <c r="A27" s="279" t="s">
        <v>412</v>
      </c>
      <c r="B27" s="394"/>
      <c r="C27" s="387"/>
      <c r="D27" s="352" t="s">
        <v>1018</v>
      </c>
      <c r="E27" s="484" t="str">
        <f>IF(OR($B27=yes,$B27=yes),'5-5 Cons prod'!K43,IF(OR($B27=no,$B27=no),"-",IF($B27=que,que,pres)))</f>
        <v>Present?</v>
      </c>
      <c r="F27" s="284"/>
      <c r="G27" s="284"/>
      <c r="H27" s="284"/>
      <c r="I27" s="284"/>
      <c r="J27" s="284"/>
      <c r="K27" s="284"/>
      <c r="L27" s="277"/>
      <c r="M27" s="492"/>
    </row>
    <row r="28" spans="1:13" ht="25.5">
      <c r="A28" s="279" t="s">
        <v>413</v>
      </c>
      <c r="B28" s="388"/>
      <c r="C28" s="389"/>
      <c r="D28" s="352" t="s">
        <v>1018</v>
      </c>
      <c r="E28" s="484" t="str">
        <f>IF(OR($B28=yes,$B28=yes),SUM('5-5 Cons prod'!K44:K46),IF(OR($B28=no,$B28=no),"-",IF($B28=que,que,pres)))</f>
        <v>Present?</v>
      </c>
      <c r="F28" s="284"/>
      <c r="G28" s="284"/>
      <c r="H28" s="284"/>
      <c r="I28" s="284"/>
      <c r="J28" s="284"/>
      <c r="K28" s="284"/>
      <c r="L28" s="277"/>
      <c r="M28" s="492"/>
    </row>
    <row r="29" spans="1:13" ht="26.25" thickBot="1">
      <c r="A29" s="279" t="s">
        <v>414</v>
      </c>
      <c r="B29" s="391"/>
      <c r="C29" s="416"/>
      <c r="D29" s="352" t="s">
        <v>1018</v>
      </c>
      <c r="E29" s="484" t="str">
        <f>IF(OR($B29=yes,$B29=yes),SUM('5-5 Cons prod'!K47),IF(OR($B29=no,$B29=no),"-",IF($B29=que,que,pres)))</f>
        <v>Present?</v>
      </c>
      <c r="F29" s="284"/>
      <c r="G29" s="284"/>
      <c r="H29" s="284"/>
      <c r="I29" s="284"/>
      <c r="J29" s="284"/>
      <c r="K29" s="284"/>
      <c r="L29" s="277"/>
      <c r="M29" s="492"/>
    </row>
    <row r="30" spans="1:13" ht="13.5" thickBot="1">
      <c r="A30" s="376"/>
      <c r="B30" s="417"/>
      <c r="C30" s="441"/>
      <c r="D30" s="410"/>
      <c r="E30" s="484"/>
      <c r="F30" s="284"/>
      <c r="G30" s="284"/>
      <c r="H30" s="284"/>
      <c r="I30" s="284"/>
      <c r="J30" s="284"/>
      <c r="K30" s="284"/>
      <c r="L30" s="277"/>
      <c r="M30" s="492"/>
    </row>
    <row r="31" spans="1:14" ht="26.25" thickBot="1">
      <c r="A31" s="279" t="s">
        <v>404</v>
      </c>
      <c r="B31" s="459"/>
      <c r="C31" s="443">
        <f>'Step1-Country data'!$B$6</f>
        <v>0</v>
      </c>
      <c r="D31" s="277" t="s">
        <v>1015</v>
      </c>
      <c r="E31" s="488" t="str">
        <f>IF(OR($B31=yes,$B31=yes),'5-5 Cons prod'!K51,IF(OR($B31=no,$B31=no),"-",IF($B31=que,que,pres)))</f>
        <v>Present?</v>
      </c>
      <c r="F31" s="426" t="str">
        <f>IF(OR('Step5-Waste treatment+recycling'!$B$4=yes,'Step5-Waste treatment+recycling'!$B$4=no),IF($B31=yes,SUM('5-5 Cons prod'!V52:V53),IF($B31=no,"-",IF($B31=que,que,pres))),SeF4)</f>
        <v>See Step5 F4</v>
      </c>
      <c r="G31" s="426" t="str">
        <f>IF(OR('Step5-Waste treatment+recycling'!$B$4=yes,'Step5-Waste treatment+recycling'!$B$4=no),IF($B31=yes,SUM('5-5 Cons prod'!W52:W53),IF($B31=no,"-",IF($B31=que,que,pres))),SeF4)</f>
        <v>See Step5 F4</v>
      </c>
      <c r="H31" s="426" t="str">
        <f>IF(OR('Step5-Waste treatment+recycling'!$B$4=yes,'Step5-Waste treatment+recycling'!$B$4=no),IF($B31=yes,SUM('5-5 Cons prod'!X52:X53),IF($B31=no,"-",IF($B31=que,que,pres))),SeF4)</f>
        <v>See Step5 F4</v>
      </c>
      <c r="I31" s="426" t="str">
        <f>IF(OR('Step5-Waste treatment+recycling'!$B$4=yes,'Step5-Waste treatment+recycling'!$B$4=no),IF($B31=yes,SUM('5-5 Cons prod'!Y52:Y53),IF($B31=no,"-",IF($B31=que,que,pres))),SeF4)</f>
        <v>See Step5 F4</v>
      </c>
      <c r="J31" s="426" t="str">
        <f>IF(OR('Step5-Waste treatment+recycling'!$B$4=yes,'Step5-Waste treatment+recycling'!$B$4=no),IF($B31=yes,SUM('5-5 Cons prod'!Z52:Z53),IF($B31=no,"-",IF($B31=que,que,pres))),SeF4)</f>
        <v>See Step5 F4</v>
      </c>
      <c r="K31" s="426" t="str">
        <f>IF(OR('Step5-Waste treatment+recycling'!$B$4=yes,'Step5-Waste treatment+recycling'!$B$4=no),IF($B31=yes,SUM('5-5 Cons prod'!AA52:AA53),IF($B31=no,"-",IF($B31=que,que,pres))),SeF4)</f>
        <v>See Step5 F4</v>
      </c>
      <c r="L31" s="277" t="s">
        <v>486</v>
      </c>
      <c r="M31" s="492"/>
      <c r="N31" s="346">
        <f>INDEX('Range-thresholds'!$G$6:$G$72,MATCH(A31,'Range-thresholds'!$A$6:$A$72,0))</f>
      </c>
    </row>
    <row r="32" spans="1:13" ht="12.75">
      <c r="A32" s="279"/>
      <c r="B32" s="279"/>
      <c r="C32" s="539">
        <f>'Step1-Country data'!$D$23</f>
        <v>100</v>
      </c>
      <c r="D32" s="352" t="s">
        <v>1019</v>
      </c>
      <c r="E32" s="487"/>
      <c r="F32" s="426"/>
      <c r="G32" s="426"/>
      <c r="H32" s="426"/>
      <c r="I32" s="426"/>
      <c r="J32" s="426"/>
      <c r="K32" s="426"/>
      <c r="L32" s="277"/>
      <c r="M32" s="492"/>
    </row>
    <row r="33" spans="1:13" ht="13.5" thickBot="1">
      <c r="A33" s="376"/>
      <c r="B33" s="417"/>
      <c r="C33" s="441"/>
      <c r="D33" s="410"/>
      <c r="E33" s="484"/>
      <c r="F33" s="284"/>
      <c r="G33" s="284"/>
      <c r="H33" s="284"/>
      <c r="I33" s="284"/>
      <c r="J33" s="284"/>
      <c r="K33" s="284"/>
      <c r="L33" s="277"/>
      <c r="M33" s="492"/>
    </row>
    <row r="34" spans="1:14" ht="13.5" thickBot="1">
      <c r="A34" s="279" t="s">
        <v>408</v>
      </c>
      <c r="B34" s="420"/>
      <c r="C34" s="419"/>
      <c r="D34" s="352" t="s">
        <v>1020</v>
      </c>
      <c r="E34" s="488" t="str">
        <f>IF(OR($B34=yes,$B34=yes),'5-5 Cons prod'!K60,IF(OR($B34=no,$B34=no),"-",IF($B34=que,que,pres)))</f>
        <v>Present?</v>
      </c>
      <c r="F34" s="426" t="str">
        <f>IF(OR('Step5-Waste treatment+recycling'!$B$4=yes,'Step5-Waste treatment+recycling'!$B$4=no),IF($B34=yes,'5-5 Cons prod'!V60,IF($B34=no,"-",IF($B34=que,que,pres))),SeF4)</f>
        <v>See Step5 F4</v>
      </c>
      <c r="G34" s="426" t="str">
        <f>IF(OR('Step5-Waste treatment+recycling'!$B$4=yes,'Step5-Waste treatment+recycling'!$B$4=no),IF($B34=yes,'5-5 Cons prod'!W60,IF($B34=no,"-",IF($B34=que,que,pres))),SeF4)</f>
        <v>See Step5 F4</v>
      </c>
      <c r="H34" s="426" t="str">
        <f>IF(OR('Step5-Waste treatment+recycling'!$B$4=yes,'Step5-Waste treatment+recycling'!$B$4=no),IF($B34=yes,'5-5 Cons prod'!X60,IF($B34=no,"-",IF($B34=que,que,pres))),SeF4)</f>
        <v>See Step5 F4</v>
      </c>
      <c r="I34" s="426" t="str">
        <f>IF(OR('Step5-Waste treatment+recycling'!$B$4=yes,'Step5-Waste treatment+recycling'!$B$4=no),IF($B34=yes,'5-5 Cons prod'!Y60,IF($B34=no,"-",IF($B34=que,que,pres))),SeF4)</f>
        <v>See Step5 F4</v>
      </c>
      <c r="J34" s="426" t="str">
        <f>IF(OR('Step5-Waste treatment+recycling'!$B$4=yes,'Step5-Waste treatment+recycling'!$B$4=no),IF($B34=yes,'5-5 Cons prod'!Z60,IF($B34=no,"-",IF($B34=que,que,pres))),SeF4)</f>
        <v>See Step5 F4</v>
      </c>
      <c r="K34" s="426" t="str">
        <f>IF(OR('Step5-Waste treatment+recycling'!$B$4=yes,'Step5-Waste treatment+recycling'!$B$4=no),IF($B34=yes,'5-5 Cons prod'!AA60,IF($B34=no,"-",IF($B34=que,que,pres))),SeF4)</f>
        <v>See Step5 F4</v>
      </c>
      <c r="L34" s="277" t="s">
        <v>402</v>
      </c>
      <c r="M34" s="492"/>
      <c r="N34" s="346">
        <f>INDEX('Range-thresholds'!$G$6:$G$72,MATCH(A34,'Range-thresholds'!$A$6:$A$72,0))</f>
      </c>
    </row>
    <row r="35" spans="1:13" ht="13.5" thickBot="1">
      <c r="A35" s="376"/>
      <c r="B35" s="417"/>
      <c r="C35" s="441"/>
      <c r="D35" s="277"/>
      <c r="E35" s="484"/>
      <c r="F35" s="284"/>
      <c r="G35" s="284"/>
      <c r="H35" s="284"/>
      <c r="I35" s="284"/>
      <c r="J35" s="284"/>
      <c r="K35" s="284"/>
      <c r="L35" s="277"/>
      <c r="M35" s="492"/>
    </row>
    <row r="36" spans="1:14" ht="26.25" thickBot="1">
      <c r="A36" s="279" t="s">
        <v>409</v>
      </c>
      <c r="B36" s="420"/>
      <c r="C36" s="684"/>
      <c r="D36" s="278" t="s">
        <v>1021</v>
      </c>
      <c r="E36" s="488" t="str">
        <f>IF(OR($B36=yes,$B36=yes),'5-5 Cons prod'!K64,IF(OR($B36=no,$B36=no),"-",IF($B36=que,que,pres)))</f>
        <v>Present?</v>
      </c>
      <c r="F36" s="426" t="str">
        <f>IF(OR('Step5-Waste treatment+recycling'!$B$4=yes,'Step5-Waste treatment+recycling'!$B$4=no),IF($B36=yes,'5-5 Cons prod'!V64,IF($B36=no,"-",IF($B36=que,que,pres))),SeF4)</f>
        <v>See Step5 F4</v>
      </c>
      <c r="G36" s="426" t="str">
        <f>IF(OR('Step5-Waste treatment+recycling'!$B$4=yes,'Step5-Waste treatment+recycling'!$B$4=no),IF($B36=yes,'5-5 Cons prod'!W64,IF($B36=no,"-",IF($B36=que,que,pres))),SeF4)</f>
        <v>See Step5 F4</v>
      </c>
      <c r="H36" s="426" t="str">
        <f>IF(OR('Step5-Waste treatment+recycling'!$B$4=yes,'Step5-Waste treatment+recycling'!$B$4=no),IF($B36=yes,'5-5 Cons prod'!X64,IF($B36=no,"-",IF($B36=que,que,pres))),SeF4)</f>
        <v>See Step5 F4</v>
      </c>
      <c r="I36" s="426" t="str">
        <f>IF(OR('Step5-Waste treatment+recycling'!$B$4=yes,'Step5-Waste treatment+recycling'!$B$4=no),IF($B36=yes,'5-5 Cons prod'!Y64,IF($B36=no,"-",IF($B36=que,que,pres))),SeF4)</f>
        <v>See Step5 F4</v>
      </c>
      <c r="J36" s="426" t="str">
        <f>IF(OR('Step5-Waste treatment+recycling'!$B$4=yes,'Step5-Waste treatment+recycling'!$B$4=no),IF($B36=yes,'5-5 Cons prod'!Z64,IF($B36=no,"-",IF($B36=que,que,pres))),SeF4)</f>
        <v>See Step5 F4</v>
      </c>
      <c r="K36" s="426" t="str">
        <f>IF(OR('Step5-Waste treatment+recycling'!$B$4=yes,'Step5-Waste treatment+recycling'!$B$4=no),IF($B36=yes,'5-5 Cons prod'!AA64,IF($B36=no,"-",IF($B36=que,que,pres))),SeF4)</f>
        <v>See Step5 F4</v>
      </c>
      <c r="L36" s="277" t="s">
        <v>485</v>
      </c>
      <c r="M36" s="492"/>
      <c r="N36" s="346">
        <f>INDEX('Range-thresholds'!$G$6:$G$72,MATCH(A36,'Range-thresholds'!$A$6:$A$72,0))</f>
      </c>
    </row>
    <row r="37" spans="1:13" ht="13.5" thickBot="1">
      <c r="A37" s="376"/>
      <c r="B37" s="417"/>
      <c r="C37" s="441"/>
      <c r="D37" s="277"/>
      <c r="E37" s="484"/>
      <c r="F37" s="284"/>
      <c r="G37" s="284"/>
      <c r="H37" s="284"/>
      <c r="I37" s="284"/>
      <c r="J37" s="284"/>
      <c r="K37" s="284"/>
      <c r="L37" s="277"/>
      <c r="M37" s="492"/>
    </row>
    <row r="38" spans="1:14" ht="26.25" thickBot="1">
      <c r="A38" s="279" t="s">
        <v>479</v>
      </c>
      <c r="B38" s="420"/>
      <c r="C38" s="419"/>
      <c r="D38" s="352" t="s">
        <v>1017</v>
      </c>
      <c r="E38" s="488" t="str">
        <f>IF(OR($B38=yes,$B38=yes),'5-6 Other int use'!K15,IF(OR($B38=no,$B38=no),"-",IF($B38=que,que,pres)))</f>
        <v>Present?</v>
      </c>
      <c r="F38" s="426" t="str">
        <f>IF(OR('Step5-Waste treatment+recycling'!$B$4=yes,'Step5-Waste treatment+recycling'!$B$4=no),IF($B38=yes,'5-6 Other int use'!V15,IF($B38=no,"-",IF($B38=que,que,pres))),SeF4)</f>
        <v>See Step5 F4</v>
      </c>
      <c r="G38" s="426" t="str">
        <f>IF(OR('Step5-Waste treatment+recycling'!$B$4=yes,'Step5-Waste treatment+recycling'!$B$4=no),IF($B38=yes,'5-6 Other int use'!W15,IF($B38=no,"-",IF($B38=que,que,pres))),SeF4)</f>
        <v>See Step5 F4</v>
      </c>
      <c r="H38" s="426" t="str">
        <f>IF(OR('Step5-Waste treatment+recycling'!$B$4=yes,'Step5-Waste treatment+recycling'!$B$4=no),IF($B38=yes,'5-6 Other int use'!X15,IF($B38=no,"-",IF($B38=que,que,pres))),SeF4)</f>
        <v>See Step5 F4</v>
      </c>
      <c r="I38" s="426" t="str">
        <f>IF(OR('Step5-Waste treatment+recycling'!$B$4=yes,'Step5-Waste treatment+recycling'!$B$4=no),IF($B38=yes,'5-6 Other int use'!Y15,IF($B38=no,"-",IF($B38=que,que,pres))),SeF4)</f>
        <v>See Step5 F4</v>
      </c>
      <c r="J38" s="426" t="str">
        <f>IF(OR('Step5-Waste treatment+recycling'!$B$4=yes,'Step5-Waste treatment+recycling'!$B$4=no),IF($B38=yes,'5-6 Other int use'!Z15,IF($B38=no,"-",IF($B38=que,que,pres))),SeF4)</f>
        <v>See Step5 F4</v>
      </c>
      <c r="K38" s="426" t="str">
        <f>IF(OR('Step5-Waste treatment+recycling'!$B$4=yes,'Step5-Waste treatment+recycling'!$B$4=no),IF($B38=yes,'5-6 Other int use'!AA15,IF($B38=no,"-",IF($B38=que,que,pres))),SeF4)</f>
        <v>See Step5 F4</v>
      </c>
      <c r="L38" s="277" t="s">
        <v>235</v>
      </c>
      <c r="M38" s="492"/>
      <c r="N38" s="346">
        <f>INDEX('Range-thresholds'!$G$6:$G$72,MATCH(A38,'Range-thresholds'!$A$6:$A$72,0))</f>
      </c>
    </row>
    <row r="39" spans="1:13" ht="13.5" thickBot="1">
      <c r="A39" s="376"/>
      <c r="B39" s="417"/>
      <c r="C39" s="441"/>
      <c r="D39" s="277"/>
      <c r="E39" s="484"/>
      <c r="F39" s="284"/>
      <c r="G39" s="284"/>
      <c r="H39" s="284"/>
      <c r="I39" s="284"/>
      <c r="J39" s="284"/>
      <c r="K39" s="284"/>
      <c r="L39" s="277"/>
      <c r="M39" s="492"/>
    </row>
    <row r="40" spans="1:14" ht="13.5" thickBot="1">
      <c r="A40" s="279" t="s">
        <v>478</v>
      </c>
      <c r="B40" s="458"/>
      <c r="C40" s="443">
        <f>'Step1-Country data'!$B$6</f>
        <v>0</v>
      </c>
      <c r="D40" s="277" t="s">
        <v>1015</v>
      </c>
      <c r="E40" s="488" t="str">
        <f>IF(OR($B40=yes,$B40=yes),'5-6 Other int use'!K24,IF(OR($B40=no,$B40=no),"-",IF($B40=que,que,pres)))</f>
        <v>Present?</v>
      </c>
      <c r="F40" s="426" t="str">
        <f>IF(OR('Step5-Waste treatment+recycling'!$B$4=yes,'Step5-Waste treatment+recycling'!$B$4=no),IF($B40=yes,'5-6 Other int use'!V24,IF($B40=no,"-",IF($B40=que,que,pres))),SeF4)</f>
        <v>See Step5 F4</v>
      </c>
      <c r="G40" s="426" t="str">
        <f>IF(OR('Step5-Waste treatment+recycling'!$B$4=yes,'Step5-Waste treatment+recycling'!$B$4=no),IF($B40=yes,'5-6 Other int use'!W24,IF($B40=no,"-",IF($B40=que,que,pres))),SeF4)</f>
        <v>See Step5 F4</v>
      </c>
      <c r="H40" s="426" t="str">
        <f>IF(OR('Step5-Waste treatment+recycling'!$B$4=yes,'Step5-Waste treatment+recycling'!$B$4=no),IF($B40=yes,'5-6 Other int use'!X24,IF($B40=no,"-",IF($B40=que,que,pres))),SeF4)</f>
        <v>See Step5 F4</v>
      </c>
      <c r="I40" s="426" t="str">
        <f>IF(OR('Step5-Waste treatment+recycling'!$B$4=yes,'Step5-Waste treatment+recycling'!$B$4=no),IF($B40=yes,'5-6 Other int use'!Y24,IF($B40=no,"-",IF($B40=que,que,pres))),SeF4)</f>
        <v>See Step5 F4</v>
      </c>
      <c r="J40" s="426" t="str">
        <f>IF(OR('Step5-Waste treatment+recycling'!$B$4=yes,'Step5-Waste treatment+recycling'!$B$4=no),IF($B40=yes,'5-6 Other int use'!Z24,IF($B40=no,"-",IF($B40=que,que,pres))),SeF4)</f>
        <v>See Step5 F4</v>
      </c>
      <c r="K40" s="426" t="str">
        <f>IF(OR('Step5-Waste treatment+recycling'!$B$4=yes,'Step5-Waste treatment+recycling'!$B$4=no),IF($B40=yes,'5-6 Other int use'!AA24,IF($B40=no,"-",IF($B40=que,que,pres))),SeF4)</f>
        <v>See Step5 F4</v>
      </c>
      <c r="L40" s="277" t="s">
        <v>235</v>
      </c>
      <c r="M40" s="492"/>
      <c r="N40" s="346">
        <f>INDEX('Range-thresholds'!$G$6:$G$72,MATCH(A40,'Range-thresholds'!$A$6:$A$72,0))</f>
      </c>
    </row>
    <row r="41" spans="1:13" ht="12.75">
      <c r="A41" s="279"/>
      <c r="B41" s="279"/>
      <c r="C41" s="539">
        <f>'Step1-Country data'!$D$23</f>
        <v>100</v>
      </c>
      <c r="D41" s="352" t="s">
        <v>1019</v>
      </c>
      <c r="E41" s="487"/>
      <c r="F41" s="426"/>
      <c r="G41" s="426"/>
      <c r="H41" s="426"/>
      <c r="I41" s="426"/>
      <c r="J41" s="426"/>
      <c r="K41" s="426"/>
      <c r="L41" s="277"/>
      <c r="M41" s="492"/>
    </row>
    <row r="42" spans="1:13" ht="13.5" thickBot="1">
      <c r="A42" s="279"/>
      <c r="B42" s="541"/>
      <c r="C42" s="539"/>
      <c r="D42" s="352"/>
      <c r="E42" s="487"/>
      <c r="F42" s="426"/>
      <c r="G42" s="426"/>
      <c r="H42" s="426"/>
      <c r="I42" s="426"/>
      <c r="J42" s="426"/>
      <c r="K42" s="426"/>
      <c r="L42" s="277"/>
      <c r="M42" s="492"/>
    </row>
    <row r="43" spans="1:14" ht="13.5" thickBot="1">
      <c r="A43" s="279" t="s">
        <v>482</v>
      </c>
      <c r="B43" s="458"/>
      <c r="C43" s="443">
        <f>'Step1-Country data'!$B$6</f>
        <v>0</v>
      </c>
      <c r="D43" s="277" t="s">
        <v>1015</v>
      </c>
      <c r="E43" s="488" t="str">
        <f>IF(OR($B43=yes,$B43=yes),'5-6 Other int use'!K37,IF(OR($B43=no,$B43=no),"-",IF($B43=que,que,pres)))</f>
        <v>Present?</v>
      </c>
      <c r="F43" s="426" t="str">
        <f>IF(OR('Step5-Waste treatment+recycling'!$B$4=yes,'Step5-Waste treatment+recycling'!$B$4=no),IF($B43=yes,'5-6 Other int use'!V37,IF($B43=no,"-",IF($B43=que,que,pres))),SeF4)</f>
        <v>See Step5 F4</v>
      </c>
      <c r="G43" s="426" t="str">
        <f>IF(OR('Step5-Waste treatment+recycling'!$B$4=yes,'Step5-Waste treatment+recycling'!$B$4=no),IF($B43=yes,'5-6 Other int use'!W37,IF($B43=no,"-",IF($B43=que,que,pres))),SeF4)</f>
        <v>See Step5 F4</v>
      </c>
      <c r="H43" s="426" t="str">
        <f>IF(OR('Step5-Waste treatment+recycling'!$B$4=yes,'Step5-Waste treatment+recycling'!$B$4=no),IF($B43=yes,'5-6 Other int use'!X37,IF($B43=no,"-",IF($B43=que,que,pres))),SeF4)</f>
        <v>See Step5 F4</v>
      </c>
      <c r="I43" s="426" t="str">
        <f>IF(OR('Step5-Waste treatment+recycling'!$B$4=yes,'Step5-Waste treatment+recycling'!$B$4=no),IF($B43=yes,'5-6 Other int use'!Y37,IF($B43=no,"-",IF($B43=que,que,pres))),SeF4)</f>
        <v>See Step5 F4</v>
      </c>
      <c r="J43" s="426" t="str">
        <f>IF(OR('Step5-Waste treatment+recycling'!$B$4=yes,'Step5-Waste treatment+recycling'!$B$4=no),IF($B43=yes,'5-6 Other int use'!Z37,IF($B43=no,"-",IF($B43=que,que,pres))),SeF4)</f>
        <v>See Step5 F4</v>
      </c>
      <c r="K43" s="426" t="str">
        <f>IF(OR('Step5-Waste treatment+recycling'!$B$4=yes,'Step5-Waste treatment+recycling'!$B$4=no),IF($B43=yes,'5-6 Other int use'!AA37,IF($B43=no,"-",IF($B43=que,que,pres))),SeF4)</f>
        <v>See Step5 F4</v>
      </c>
      <c r="L43" s="277" t="s">
        <v>239</v>
      </c>
      <c r="M43" s="492"/>
      <c r="N43" s="346">
        <f>INDEX('Range-thresholds'!$G$6:$G$72,MATCH(A43,'Range-thresholds'!$A$6:$A$72,0))</f>
      </c>
    </row>
    <row r="44" spans="1:13" ht="12.75">
      <c r="A44" s="279"/>
      <c r="B44" s="279"/>
      <c r="C44" s="539">
        <f>'Step1-Country data'!$D$23</f>
        <v>100</v>
      </c>
      <c r="D44" s="352" t="s">
        <v>1019</v>
      </c>
      <c r="E44" s="487"/>
      <c r="F44" s="426"/>
      <c r="G44" s="426"/>
      <c r="H44" s="426"/>
      <c r="I44" s="426"/>
      <c r="J44" s="426"/>
      <c r="K44" s="426"/>
      <c r="L44" s="277"/>
      <c r="M44" s="492"/>
    </row>
    <row r="45" spans="1:13" ht="13.5" thickBot="1">
      <c r="A45" s="279"/>
      <c r="B45" s="541"/>
      <c r="C45" s="539"/>
      <c r="D45" s="352"/>
      <c r="E45" s="487"/>
      <c r="F45" s="426"/>
      <c r="G45" s="426"/>
      <c r="H45" s="426"/>
      <c r="I45" s="426"/>
      <c r="J45" s="426"/>
      <c r="K45" s="426"/>
      <c r="L45" s="277"/>
      <c r="M45" s="492"/>
    </row>
    <row r="46" spans="1:14" ht="26.25" thickBot="1">
      <c r="A46" s="279" t="s">
        <v>461</v>
      </c>
      <c r="B46" s="458"/>
      <c r="C46" s="443">
        <f>'Step1-Country data'!$B$6</f>
        <v>0</v>
      </c>
      <c r="D46" s="277" t="s">
        <v>1015</v>
      </c>
      <c r="E46" s="488" t="str">
        <f>IF(OR($B46=yes,$B46=yes),'5-6 Other int use'!K38,IF(OR($B46=no,$B46=no),"-",IF($B46=que,que,pres)))</f>
        <v>Present?</v>
      </c>
      <c r="F46" s="426" t="str">
        <f>IF(OR('Step5-Waste treatment+recycling'!$B$4=yes,'Step5-Waste treatment+recycling'!$B$4=no),IF($B46=yes,'5-6 Other int use'!V38,IF($B46=no,"-",IF($B46=que,que,pres))),SeF4)</f>
        <v>See Step5 F4</v>
      </c>
      <c r="G46" s="426" t="str">
        <f>IF(OR('Step5-Waste treatment+recycling'!$B$4=yes,'Step5-Waste treatment+recycling'!$B$4=no),IF($B46=yes,'5-6 Other int use'!W38,IF($B46=no,"-",IF($B46=que,que,pres))),SeF4)</f>
        <v>See Step5 F4</v>
      </c>
      <c r="H46" s="426" t="str">
        <f>IF(OR('Step5-Waste treatment+recycling'!$B$4=yes,'Step5-Waste treatment+recycling'!$B$4=no),IF($B46=yes,'5-6 Other int use'!X38,IF($B46=no,"-",IF($B46=que,que,pres))),SeF4)</f>
        <v>See Step5 F4</v>
      </c>
      <c r="I46" s="426" t="str">
        <f>IF(OR('Step5-Waste treatment+recycling'!$B$4=yes,'Step5-Waste treatment+recycling'!$B$4=no),IF($B46=yes,'5-6 Other int use'!Y38,IF($B46=no,"-",IF($B46=que,que,pres))),SeF4)</f>
        <v>See Step5 F4</v>
      </c>
      <c r="J46" s="426" t="str">
        <f>IF(OR('Step5-Waste treatment+recycling'!$B$4=yes,'Step5-Waste treatment+recycling'!$B$4=no),IF($B46=yes,'5-6 Other int use'!Z38,IF($B46=no,"-",IF($B46=que,que,pres))),SeF4)</f>
        <v>See Step5 F4</v>
      </c>
      <c r="K46" s="426" t="str">
        <f>IF(OR('Step5-Waste treatment+recycling'!$B$4=yes,'Step5-Waste treatment+recycling'!$B$4=no),IF($B46=yes,'5-6 Other int use'!AA38,IF($B46=no,"-",IF($B46=que,que,pres))),SeF4)</f>
        <v>See Step5 F4</v>
      </c>
      <c r="L46" s="376" t="s">
        <v>403</v>
      </c>
      <c r="M46" s="492"/>
      <c r="N46" s="346">
        <f>INDEX('Range-thresholds'!$G$6:$G$72,MATCH(A46,'Range-thresholds'!$A$6:$A$72,0))</f>
      </c>
    </row>
    <row r="47" spans="1:13" ht="12.75">
      <c r="A47" s="279"/>
      <c r="B47" s="279"/>
      <c r="C47" s="539">
        <f>'Step1-Country data'!$D$23</f>
        <v>100</v>
      </c>
      <c r="D47" s="352" t="s">
        <v>1019</v>
      </c>
      <c r="E47" s="487"/>
      <c r="F47" s="426"/>
      <c r="G47" s="426"/>
      <c r="H47" s="426"/>
      <c r="I47" s="426"/>
      <c r="J47" s="426"/>
      <c r="K47" s="426"/>
      <c r="L47" s="277"/>
      <c r="M47" s="492"/>
    </row>
    <row r="50" ht="12.75">
      <c r="A50" s="683" t="s">
        <v>983</v>
      </c>
    </row>
    <row r="51" ht="12.75">
      <c r="A51" s="683" t="s">
        <v>984</v>
      </c>
    </row>
  </sheetData>
  <sheetProtection password="BC6F" sheet="1"/>
  <mergeCells count="2">
    <mergeCell ref="F3:K3"/>
    <mergeCell ref="A2:L2"/>
  </mergeCells>
  <conditionalFormatting sqref="E7 E13 E18 E21 E26 E31 E34 E36 E38 E40 E43 E46">
    <cfRule type="expression" priority="2" dxfId="0" stopIfTrue="1">
      <formula>AND(B7="y",N7="n")</formula>
    </cfRule>
  </conditionalFormatting>
  <conditionalFormatting sqref="A2">
    <cfRule type="expression" priority="1" dxfId="0" stopIfTrue="1">
      <formula>$A$2&lt;&gt;""</formula>
    </cfRule>
  </conditionalFormatting>
  <dataValidations count="3">
    <dataValidation type="decimal" allowBlank="1" showInputMessage="1" showErrorMessage="1" promptTitle="Input cell" prompt="Use digits and decimal mark only." errorTitle="Input error" error="Use digits and decimal mark only." sqref="C14:C16 C22:C24 C27:C29 C34 C36 C38">
      <formula1>-99999999999999900000000</formula1>
      <formula2>9.99999999999999E+22</formula2>
    </dataValidation>
    <dataValidation type="list" allowBlank="1" showDropDown="1" showInputMessage="1" showErrorMessage="1" errorTitle="Input error" error="Enter only y, n or ? (or translation of these)" sqref="B17 B30 B32:B33 B35 B37 B39 B41:B42 B44:B45">
      <formula1>yn?</formula1>
    </dataValidation>
    <dataValidation type="list" allowBlank="1" showInputMessage="1" showErrorMessage="1" errorTitle="Input error" error="Enter only y, n or ? (or translation of these)" sqref="B7 B13:B16 B18 B21:B24 B26:B29 B31 B34 B36 B38 B40 B43 B46">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60" r:id="rId1"/>
  <headerFooter>
    <oddFooter>&amp;L&amp;A
Printed &amp;D</oddFooter>
  </headerFooter>
</worksheet>
</file>

<file path=xl/worksheets/sheet11.xml><?xml version="1.0" encoding="utf-8"?>
<worksheet xmlns="http://schemas.openxmlformats.org/spreadsheetml/2006/main" xmlns:r="http://schemas.openxmlformats.org/officeDocument/2006/relationships">
  <dimension ref="A1:AD101"/>
  <sheetViews>
    <sheetView zoomScalePageLayoutView="0" workbookViewId="0" topLeftCell="A1">
      <selection activeCell="J19" sqref="J19"/>
    </sheetView>
  </sheetViews>
  <sheetFormatPr defaultColWidth="9.140625" defaultRowHeight="12.75"/>
  <cols>
    <col min="1" max="1" width="3.421875" style="0" customWidth="1"/>
    <col min="2" max="2" width="5.140625" style="0" customWidth="1"/>
    <col min="3" max="3" width="34.00390625" style="0" customWidth="1"/>
    <col min="4" max="4" width="8.421875" style="0" customWidth="1"/>
    <col min="5" max="5" width="10.28125" style="0" customWidth="1"/>
    <col min="7" max="7" width="10.140625" style="0" customWidth="1"/>
    <col min="8" max="8" width="11.57421875" style="0" customWidth="1"/>
    <col min="9" max="9" width="16.8515625" style="242" customWidth="1"/>
    <col min="10" max="10" width="14.57421875" style="0" customWidth="1"/>
    <col min="11" max="11" width="10.28125" style="0" bestFit="1" customWidth="1"/>
    <col min="13" max="13" width="33.421875" style="13" customWidth="1"/>
    <col min="14" max="14" width="9.140625" style="242" customWidth="1"/>
    <col min="21" max="21" width="16.57421875" style="0" customWidth="1"/>
    <col min="27" max="27" width="17.00390625" style="0" customWidth="1"/>
    <col min="28" max="28" width="63.57421875" style="0" customWidth="1"/>
  </cols>
  <sheetData>
    <row r="1" spans="1:27" ht="18">
      <c r="A1" s="1" t="s">
        <v>34</v>
      </c>
      <c r="I1" s="232"/>
      <c r="N1" s="232"/>
      <c r="V1" s="22"/>
      <c r="W1" s="3"/>
      <c r="X1" s="3"/>
      <c r="Y1" s="3"/>
      <c r="Z1" s="3"/>
      <c r="AA1" s="3"/>
    </row>
    <row r="2" spans="1:14" ht="15">
      <c r="A2" s="54" t="s">
        <v>322</v>
      </c>
      <c r="I2" s="232"/>
      <c r="L2" s="55"/>
      <c r="M2" s="55"/>
      <c r="N2" s="232"/>
    </row>
    <row r="3" spans="4:28" s="181" customFormat="1" ht="12.75">
      <c r="D3" s="182"/>
      <c r="E3" s="182"/>
      <c r="F3" s="182"/>
      <c r="G3" s="182"/>
      <c r="H3" s="182"/>
      <c r="I3" s="260"/>
      <c r="J3" s="182"/>
      <c r="K3" s="182"/>
      <c r="L3" s="30"/>
      <c r="M3" s="30"/>
      <c r="N3" s="260"/>
      <c r="O3" s="182"/>
      <c r="P3" s="184" t="s">
        <v>55</v>
      </c>
      <c r="Q3" s="184"/>
      <c r="R3" s="184"/>
      <c r="S3" s="184"/>
      <c r="T3" s="184"/>
      <c r="U3" s="184"/>
      <c r="V3" s="185" t="s">
        <v>54</v>
      </c>
      <c r="W3" s="186"/>
      <c r="X3" s="186"/>
      <c r="Y3" s="186"/>
      <c r="Z3" s="186"/>
      <c r="AA3" s="186"/>
      <c r="AB3" s="184"/>
    </row>
    <row r="4" spans="1:28" s="187" customFormat="1" ht="38.25">
      <c r="A4" s="187" t="s">
        <v>52</v>
      </c>
      <c r="B4" s="187" t="s">
        <v>50</v>
      </c>
      <c r="C4" s="136" t="s">
        <v>59</v>
      </c>
      <c r="D4" s="112" t="s">
        <v>159</v>
      </c>
      <c r="E4" s="136" t="s">
        <v>49</v>
      </c>
      <c r="F4" s="139" t="s">
        <v>35</v>
      </c>
      <c r="G4" s="112" t="s">
        <v>37</v>
      </c>
      <c r="H4" s="139" t="s">
        <v>35</v>
      </c>
      <c r="I4" s="247" t="s">
        <v>51</v>
      </c>
      <c r="J4" s="187" t="s">
        <v>35</v>
      </c>
      <c r="K4" s="84" t="s">
        <v>61</v>
      </c>
      <c r="L4" s="139" t="s">
        <v>35</v>
      </c>
      <c r="M4" s="126" t="s">
        <v>57</v>
      </c>
      <c r="N4" s="247" t="s">
        <v>94</v>
      </c>
      <c r="O4" s="139" t="s">
        <v>35</v>
      </c>
      <c r="P4" s="111" t="s">
        <v>38</v>
      </c>
      <c r="Q4" s="111" t="s">
        <v>39</v>
      </c>
      <c r="R4" s="111" t="s">
        <v>40</v>
      </c>
      <c r="S4" s="111" t="s">
        <v>41</v>
      </c>
      <c r="T4" s="112" t="s">
        <v>42</v>
      </c>
      <c r="U4" s="112" t="s">
        <v>53</v>
      </c>
      <c r="V4" s="56" t="s">
        <v>38</v>
      </c>
      <c r="W4" s="56" t="s">
        <v>39</v>
      </c>
      <c r="X4" s="56" t="s">
        <v>40</v>
      </c>
      <c r="Y4" s="57" t="s">
        <v>41</v>
      </c>
      <c r="Z4" s="57" t="s">
        <v>42</v>
      </c>
      <c r="AA4" s="57" t="s">
        <v>237</v>
      </c>
      <c r="AB4" s="111" t="s">
        <v>89</v>
      </c>
    </row>
    <row r="5" spans="1:28" s="55" customFormat="1" ht="25.5">
      <c r="A5" s="55" t="s">
        <v>220</v>
      </c>
      <c r="C5" s="136" t="s">
        <v>223</v>
      </c>
      <c r="D5" s="120"/>
      <c r="F5" s="104"/>
      <c r="G5" s="119"/>
      <c r="H5" s="104"/>
      <c r="I5" s="248"/>
      <c r="K5" s="121"/>
      <c r="L5" s="104"/>
      <c r="M5" s="175"/>
      <c r="N5" s="248"/>
      <c r="O5" s="104"/>
      <c r="P5" s="119"/>
      <c r="Q5" s="119"/>
      <c r="R5" s="119"/>
      <c r="S5" s="119"/>
      <c r="T5" s="119"/>
      <c r="U5" s="119"/>
      <c r="V5" s="122"/>
      <c r="W5" s="122"/>
      <c r="X5" s="122"/>
      <c r="Y5" s="122"/>
      <c r="Z5" s="122"/>
      <c r="AA5" s="122"/>
      <c r="AB5" s="119"/>
    </row>
    <row r="6" spans="2:28" ht="12.75">
      <c r="B6" t="s">
        <v>221</v>
      </c>
      <c r="C6" s="12" t="s">
        <v>362</v>
      </c>
      <c r="D6" s="111"/>
      <c r="G6" s="76"/>
      <c r="I6" s="249"/>
      <c r="K6" s="114"/>
      <c r="L6" s="3"/>
      <c r="M6" s="14"/>
      <c r="N6" s="249"/>
      <c r="O6" s="3"/>
      <c r="P6" s="76"/>
      <c r="Q6" s="76"/>
      <c r="R6" s="76"/>
      <c r="S6" s="76"/>
      <c r="T6" s="76"/>
      <c r="U6" s="76"/>
      <c r="V6" s="114">
        <f aca="true" t="shared" si="0" ref="V6:AA6">SUM(V7:V11)</f>
        <v>0</v>
      </c>
      <c r="W6" s="114">
        <f t="shared" si="0"/>
        <v>0</v>
      </c>
      <c r="X6" s="114">
        <f t="shared" si="0"/>
        <v>0</v>
      </c>
      <c r="Y6" s="114">
        <f t="shared" si="0"/>
        <v>0</v>
      </c>
      <c r="Z6" s="114">
        <f t="shared" si="0"/>
        <v>0</v>
      </c>
      <c r="AA6" s="114">
        <f t="shared" si="0"/>
        <v>0</v>
      </c>
      <c r="AB6" s="338"/>
    </row>
    <row r="7" spans="3:28" ht="38.25">
      <c r="C7" s="68" t="s">
        <v>225</v>
      </c>
      <c r="D7" s="111"/>
      <c r="E7" s="6" t="s">
        <v>224</v>
      </c>
      <c r="F7" s="3" t="s">
        <v>120</v>
      </c>
      <c r="G7" s="281">
        <v>0.2</v>
      </c>
      <c r="H7" s="3" t="s">
        <v>120</v>
      </c>
      <c r="I7" s="250">
        <f>'Step1-Country data'!B6</f>
        <v>0</v>
      </c>
      <c r="J7" s="3" t="s">
        <v>119</v>
      </c>
      <c r="K7" s="170">
        <f>(G7*I7/1000)*'Step6-Hg products-substances'!C11/Countrydata!$D$57</f>
        <v>0</v>
      </c>
      <c r="L7" s="3" t="s">
        <v>36</v>
      </c>
      <c r="M7" s="39" t="s">
        <v>232</v>
      </c>
      <c r="N7" s="250">
        <f>K7</f>
        <v>0</v>
      </c>
      <c r="O7" s="3" t="s">
        <v>36</v>
      </c>
      <c r="P7" s="131">
        <v>0.02</v>
      </c>
      <c r="Q7" s="131">
        <v>0.14</v>
      </c>
      <c r="R7" s="131"/>
      <c r="S7" s="131"/>
      <c r="T7" s="131">
        <v>0.12</v>
      </c>
      <c r="U7" s="131">
        <v>0.12</v>
      </c>
      <c r="V7" s="116">
        <f aca="true" t="shared" si="1" ref="V7:AA8">$N7*P7</f>
        <v>0</v>
      </c>
      <c r="W7" s="116">
        <f t="shared" si="1"/>
        <v>0</v>
      </c>
      <c r="X7" s="116">
        <f t="shared" si="1"/>
        <v>0</v>
      </c>
      <c r="Y7" s="116">
        <f t="shared" si="1"/>
        <v>0</v>
      </c>
      <c r="Z7" s="116">
        <f t="shared" si="1"/>
        <v>0</v>
      </c>
      <c r="AA7" s="116">
        <f t="shared" si="1"/>
        <v>0</v>
      </c>
      <c r="AB7" s="76"/>
    </row>
    <row r="8" spans="3:28" ht="38.25">
      <c r="C8" s="68" t="s">
        <v>227</v>
      </c>
      <c r="D8" s="111"/>
      <c r="E8" s="6"/>
      <c r="F8" s="3"/>
      <c r="G8" s="76"/>
      <c r="H8" s="3"/>
      <c r="I8" s="250"/>
      <c r="J8" s="3"/>
      <c r="K8" s="169"/>
      <c r="L8" s="3"/>
      <c r="M8" s="39" t="s">
        <v>233</v>
      </c>
      <c r="N8" s="250">
        <f>0.6*N7</f>
        <v>0</v>
      </c>
      <c r="O8" s="3" t="s">
        <v>36</v>
      </c>
      <c r="P8" s="131"/>
      <c r="Q8" s="131">
        <v>0.02</v>
      </c>
      <c r="R8" s="131"/>
      <c r="S8" s="131"/>
      <c r="T8" s="131"/>
      <c r="U8" s="131"/>
      <c r="V8" s="116">
        <f t="shared" si="1"/>
        <v>0</v>
      </c>
      <c r="W8" s="116">
        <f t="shared" si="1"/>
        <v>0</v>
      </c>
      <c r="X8" s="116">
        <f t="shared" si="1"/>
        <v>0</v>
      </c>
      <c r="Y8" s="116">
        <f t="shared" si="1"/>
        <v>0</v>
      </c>
      <c r="Z8" s="116">
        <f t="shared" si="1"/>
        <v>0</v>
      </c>
      <c r="AA8" s="116">
        <f t="shared" si="1"/>
        <v>0</v>
      </c>
      <c r="AB8" s="76"/>
    </row>
    <row r="9" spans="3:28" ht="25.5">
      <c r="C9" s="68" t="s">
        <v>226</v>
      </c>
      <c r="D9" s="111"/>
      <c r="E9" s="6"/>
      <c r="F9" s="3"/>
      <c r="G9" s="76"/>
      <c r="H9" s="3"/>
      <c r="I9" s="250"/>
      <c r="J9" s="3"/>
      <c r="K9" s="169"/>
      <c r="L9" s="3"/>
      <c r="M9" s="39" t="s">
        <v>234</v>
      </c>
      <c r="N9" s="250"/>
      <c r="O9" s="3"/>
      <c r="P9" s="168"/>
      <c r="Q9" s="168"/>
      <c r="R9" s="168"/>
      <c r="S9" s="168"/>
      <c r="T9" s="168"/>
      <c r="U9" s="168"/>
      <c r="V9" s="116"/>
      <c r="W9" s="116"/>
      <c r="X9" s="116"/>
      <c r="Y9" s="116"/>
      <c r="Z9" s="116"/>
      <c r="AA9" s="116"/>
      <c r="AB9" s="76"/>
    </row>
    <row r="10" spans="3:28" ht="38.25">
      <c r="C10" s="12"/>
      <c r="D10" s="111"/>
      <c r="E10" s="6"/>
      <c r="F10" s="3"/>
      <c r="G10" s="76"/>
      <c r="H10" s="3"/>
      <c r="I10" s="250"/>
      <c r="J10" s="3"/>
      <c r="K10" s="169"/>
      <c r="L10" s="3"/>
      <c r="M10" s="38" t="s">
        <v>230</v>
      </c>
      <c r="N10" s="250"/>
      <c r="O10" s="3" t="s">
        <v>36</v>
      </c>
      <c r="P10" s="131"/>
      <c r="Q10" s="131">
        <v>0.02</v>
      </c>
      <c r="R10" s="131"/>
      <c r="S10" s="131">
        <v>0.06</v>
      </c>
      <c r="T10" s="131">
        <v>0.26</v>
      </c>
      <c r="U10" s="131">
        <v>0.26</v>
      </c>
      <c r="V10" s="116">
        <f aca="true" t="shared" si="2" ref="V10:AA11">$N10*P10</f>
        <v>0</v>
      </c>
      <c r="W10" s="116">
        <f t="shared" si="2"/>
        <v>0</v>
      </c>
      <c r="X10" s="116">
        <f t="shared" si="2"/>
        <v>0</v>
      </c>
      <c r="Y10" s="116">
        <f t="shared" si="2"/>
        <v>0</v>
      </c>
      <c r="Z10" s="116">
        <f t="shared" si="2"/>
        <v>0</v>
      </c>
      <c r="AA10" s="116">
        <f t="shared" si="2"/>
        <v>0</v>
      </c>
      <c r="AB10" s="76"/>
    </row>
    <row r="11" spans="3:28" ht="25.5">
      <c r="C11" s="12"/>
      <c r="D11" s="111"/>
      <c r="E11" s="6"/>
      <c r="F11" s="3"/>
      <c r="G11" s="76"/>
      <c r="H11" s="3"/>
      <c r="I11" s="250"/>
      <c r="J11" s="3"/>
      <c r="K11" s="169"/>
      <c r="L11" s="3"/>
      <c r="M11" s="38" t="s">
        <v>231</v>
      </c>
      <c r="N11" s="250">
        <f>N8</f>
        <v>0</v>
      </c>
      <c r="O11" s="3" t="s">
        <v>36</v>
      </c>
      <c r="P11" s="131"/>
      <c r="Q11" s="131">
        <v>0.3</v>
      </c>
      <c r="R11" s="131"/>
      <c r="S11" s="131">
        <v>0.06</v>
      </c>
      <c r="T11" s="131">
        <v>0.12</v>
      </c>
      <c r="U11" s="131">
        <v>0.12</v>
      </c>
      <c r="V11" s="116">
        <f t="shared" si="2"/>
        <v>0</v>
      </c>
      <c r="W11" s="116">
        <f t="shared" si="2"/>
        <v>0</v>
      </c>
      <c r="X11" s="116">
        <f t="shared" si="2"/>
        <v>0</v>
      </c>
      <c r="Y11" s="116">
        <f t="shared" si="2"/>
        <v>0</v>
      </c>
      <c r="Z11" s="116">
        <f t="shared" si="2"/>
        <v>0</v>
      </c>
      <c r="AA11" s="116">
        <f t="shared" si="2"/>
        <v>0</v>
      </c>
      <c r="AB11" s="76"/>
    </row>
    <row r="12" spans="3:28" s="55" customFormat="1" ht="12.75">
      <c r="C12" s="162"/>
      <c r="D12" s="76"/>
      <c r="E12" s="106"/>
      <c r="F12" s="104"/>
      <c r="G12" s="76"/>
      <c r="H12" s="104"/>
      <c r="I12" s="250"/>
      <c r="K12" s="115"/>
      <c r="L12" s="104"/>
      <c r="M12" s="163"/>
      <c r="N12" s="250"/>
      <c r="O12" s="104"/>
      <c r="P12" s="168"/>
      <c r="Q12" s="168"/>
      <c r="R12" s="168"/>
      <c r="S12" s="168"/>
      <c r="T12" s="168"/>
      <c r="U12" s="171"/>
      <c r="V12" s="116"/>
      <c r="W12" s="116"/>
      <c r="X12" s="116"/>
      <c r="Y12" s="116"/>
      <c r="Z12" s="116"/>
      <c r="AA12" s="116"/>
      <c r="AB12" s="76"/>
    </row>
    <row r="13" spans="2:30" ht="25.5">
      <c r="B13" s="3" t="s">
        <v>235</v>
      </c>
      <c r="C13" s="26" t="s">
        <v>236</v>
      </c>
      <c r="D13" s="111"/>
      <c r="E13" s="3"/>
      <c r="F13" s="3"/>
      <c r="G13" s="76"/>
      <c r="H13" s="3"/>
      <c r="I13" s="250"/>
      <c r="K13" s="114"/>
      <c r="L13" s="3"/>
      <c r="M13" s="33"/>
      <c r="N13" s="250"/>
      <c r="O13" s="3"/>
      <c r="P13" s="76"/>
      <c r="Q13" s="76"/>
      <c r="R13" s="76"/>
      <c r="S13" s="76"/>
      <c r="T13" s="76"/>
      <c r="U13" s="76"/>
      <c r="V13" s="114">
        <f aca="true" t="shared" si="3" ref="V13:AA13">SUM(V14+V15+V24)</f>
        <v>0</v>
      </c>
      <c r="W13" s="114">
        <f t="shared" si="3"/>
        <v>0</v>
      </c>
      <c r="X13" s="114">
        <f t="shared" si="3"/>
        <v>0</v>
      </c>
      <c r="Y13" s="114">
        <f t="shared" si="3"/>
        <v>0</v>
      </c>
      <c r="Z13" s="114">
        <f t="shared" si="3"/>
        <v>0</v>
      </c>
      <c r="AA13" s="114">
        <f t="shared" si="3"/>
        <v>0</v>
      </c>
      <c r="AB13" s="76"/>
      <c r="AC13" s="25"/>
      <c r="AD13" s="3"/>
    </row>
    <row r="14" spans="2:30" ht="12.75">
      <c r="B14" s="3"/>
      <c r="C14" s="26" t="s">
        <v>469</v>
      </c>
      <c r="D14" s="111"/>
      <c r="E14" s="3"/>
      <c r="F14" s="3"/>
      <c r="G14" s="76">
        <v>1</v>
      </c>
      <c r="H14" s="36"/>
      <c r="I14" s="250">
        <f>'Step4-Industrial Hg use'!C14</f>
        <v>0</v>
      </c>
      <c r="J14" s="8" t="s">
        <v>471</v>
      </c>
      <c r="K14" s="169">
        <f>I14*G14</f>
        <v>0</v>
      </c>
      <c r="L14" s="3"/>
      <c r="M14" s="33"/>
      <c r="N14" s="250">
        <f>K14</f>
        <v>0</v>
      </c>
      <c r="O14" s="3" t="s">
        <v>36</v>
      </c>
      <c r="P14" s="300">
        <v>0.01</v>
      </c>
      <c r="Q14" s="300">
        <v>0.005</v>
      </c>
      <c r="R14" s="300">
        <v>0.1</v>
      </c>
      <c r="S14" s="300"/>
      <c r="T14" s="300">
        <v>0.1</v>
      </c>
      <c r="U14" s="300">
        <v>0.01</v>
      </c>
      <c r="V14" s="116">
        <f aca="true" t="shared" si="4" ref="V14:AA14">$N14*P14</f>
        <v>0</v>
      </c>
      <c r="W14" s="116">
        <f t="shared" si="4"/>
        <v>0</v>
      </c>
      <c r="X14" s="116">
        <f t="shared" si="4"/>
        <v>0</v>
      </c>
      <c r="Y14" s="116">
        <f t="shared" si="4"/>
        <v>0</v>
      </c>
      <c r="Z14" s="116">
        <f t="shared" si="4"/>
        <v>0</v>
      </c>
      <c r="AA14" s="116">
        <f t="shared" si="4"/>
        <v>0</v>
      </c>
      <c r="AB14" s="76"/>
      <c r="AC14" s="25"/>
      <c r="AD14" s="3"/>
    </row>
    <row r="15" spans="2:30" ht="12.75">
      <c r="B15" s="3"/>
      <c r="C15" s="69" t="s">
        <v>261</v>
      </c>
      <c r="D15" s="111"/>
      <c r="E15" s="36" t="s">
        <v>480</v>
      </c>
      <c r="F15" s="3" t="s">
        <v>112</v>
      </c>
      <c r="G15" s="76">
        <v>80</v>
      </c>
      <c r="H15" s="3" t="s">
        <v>112</v>
      </c>
      <c r="I15" s="250">
        <f>'Step6-Hg products-substances'!C38</f>
        <v>0</v>
      </c>
      <c r="J15" t="s">
        <v>281</v>
      </c>
      <c r="K15" s="115">
        <f>G15*I15/1000</f>
        <v>0</v>
      </c>
      <c r="L15" s="3" t="s">
        <v>36</v>
      </c>
      <c r="M15" s="16" t="s">
        <v>102</v>
      </c>
      <c r="N15" s="250"/>
      <c r="O15" s="3"/>
      <c r="P15" s="300"/>
      <c r="Q15" s="300"/>
      <c r="R15" s="300"/>
      <c r="S15" s="300"/>
      <c r="T15" s="300"/>
      <c r="U15" s="287"/>
      <c r="V15" s="315">
        <f aca="true" t="shared" si="5" ref="V15:AA15">SUM(V16:V18)</f>
        <v>0</v>
      </c>
      <c r="W15" s="315">
        <f t="shared" si="5"/>
        <v>0</v>
      </c>
      <c r="X15" s="315">
        <f t="shared" si="5"/>
        <v>0</v>
      </c>
      <c r="Y15" s="315">
        <f t="shared" si="5"/>
        <v>0</v>
      </c>
      <c r="Z15" s="315">
        <f t="shared" si="5"/>
        <v>0</v>
      </c>
      <c r="AA15" s="315">
        <f t="shared" si="5"/>
        <v>0</v>
      </c>
      <c r="AB15" s="76"/>
      <c r="AC15" s="25"/>
      <c r="AD15" s="3"/>
    </row>
    <row r="16" spans="2:30" ht="25.5">
      <c r="B16" s="3"/>
      <c r="C16" s="69"/>
      <c r="D16" s="111"/>
      <c r="E16" s="3"/>
      <c r="F16" s="3"/>
      <c r="G16" s="76"/>
      <c r="H16" s="3"/>
      <c r="I16" s="250"/>
      <c r="K16" s="115"/>
      <c r="L16" s="3"/>
      <c r="M16" s="15" t="s">
        <v>99</v>
      </c>
      <c r="N16" s="250">
        <f>IF(OR('Step5-Waste treatment+recycling'!$B$4=yes,'Step5-Waste treatment+recycling'!$B$4=yes),K15,0)</f>
        <v>0</v>
      </c>
      <c r="O16" s="3" t="s">
        <v>36</v>
      </c>
      <c r="P16" s="300">
        <v>0.1</v>
      </c>
      <c r="Q16" s="300">
        <v>0.3</v>
      </c>
      <c r="R16" s="300"/>
      <c r="S16" s="300"/>
      <c r="T16" s="300">
        <v>0.6</v>
      </c>
      <c r="U16" s="300"/>
      <c r="V16" s="116">
        <f aca="true" t="shared" si="6" ref="V16:AA18">$N16*P16</f>
        <v>0</v>
      </c>
      <c r="W16" s="116">
        <f t="shared" si="6"/>
        <v>0</v>
      </c>
      <c r="X16" s="116">
        <f t="shared" si="6"/>
        <v>0</v>
      </c>
      <c r="Y16" s="116">
        <f t="shared" si="6"/>
        <v>0</v>
      </c>
      <c r="Z16" s="116">
        <f t="shared" si="6"/>
        <v>0</v>
      </c>
      <c r="AA16" s="116">
        <f t="shared" si="6"/>
        <v>0</v>
      </c>
      <c r="AB16" s="76"/>
      <c r="AC16" s="25"/>
      <c r="AD16" s="3"/>
    </row>
    <row r="17" spans="2:30" ht="25.5">
      <c r="B17" s="3"/>
      <c r="C17" s="69"/>
      <c r="D17" s="111"/>
      <c r="E17" s="3"/>
      <c r="F17" s="3"/>
      <c r="G17" s="76"/>
      <c r="H17" s="3"/>
      <c r="I17" s="250"/>
      <c r="K17" s="115"/>
      <c r="L17" s="3"/>
      <c r="M17" s="15" t="s">
        <v>114</v>
      </c>
      <c r="N17" s="250">
        <f>IF(OR('Step5-Waste treatment+recycling'!$B$4=no,'Step5-Waste treatment+recycling'!$B$4=no),K15,0)</f>
        <v>0</v>
      </c>
      <c r="O17" s="3" t="s">
        <v>36</v>
      </c>
      <c r="P17" s="300">
        <v>0.2</v>
      </c>
      <c r="Q17" s="300">
        <v>0.3</v>
      </c>
      <c r="R17" s="300">
        <v>0.2</v>
      </c>
      <c r="S17" s="300"/>
      <c r="T17" s="300">
        <v>0.3</v>
      </c>
      <c r="U17" s="300"/>
      <c r="V17" s="116">
        <f t="shared" si="6"/>
        <v>0</v>
      </c>
      <c r="W17" s="116">
        <f t="shared" si="6"/>
        <v>0</v>
      </c>
      <c r="X17" s="116">
        <f t="shared" si="6"/>
        <v>0</v>
      </c>
      <c r="Y17" s="116">
        <f t="shared" si="6"/>
        <v>0</v>
      </c>
      <c r="Z17" s="116">
        <f t="shared" si="6"/>
        <v>0</v>
      </c>
      <c r="AA17" s="116">
        <f t="shared" si="6"/>
        <v>0</v>
      </c>
      <c r="AB17" s="76"/>
      <c r="AC17" s="25"/>
      <c r="AD17" s="3"/>
    </row>
    <row r="18" spans="2:30" ht="25.5">
      <c r="B18" s="3"/>
      <c r="C18" s="69"/>
      <c r="D18" s="111"/>
      <c r="E18" s="3"/>
      <c r="F18" s="3"/>
      <c r="G18" s="76"/>
      <c r="H18" s="3"/>
      <c r="I18" s="250"/>
      <c r="K18" s="115"/>
      <c r="L18" s="3"/>
      <c r="M18" s="15" t="s">
        <v>100</v>
      </c>
      <c r="N18" s="250"/>
      <c r="O18" s="3" t="s">
        <v>36</v>
      </c>
      <c r="P18" s="300">
        <v>0.1</v>
      </c>
      <c r="Q18" s="300">
        <v>0.3</v>
      </c>
      <c r="R18" s="300"/>
      <c r="S18" s="300"/>
      <c r="T18" s="300">
        <v>0.3</v>
      </c>
      <c r="U18" s="300">
        <v>0.3</v>
      </c>
      <c r="V18" s="116">
        <f t="shared" si="6"/>
        <v>0</v>
      </c>
      <c r="W18" s="116">
        <f t="shared" si="6"/>
        <v>0</v>
      </c>
      <c r="X18" s="116">
        <f t="shared" si="6"/>
        <v>0</v>
      </c>
      <c r="Y18" s="116">
        <f t="shared" si="6"/>
        <v>0</v>
      </c>
      <c r="Z18" s="116">
        <f t="shared" si="6"/>
        <v>0</v>
      </c>
      <c r="AA18" s="116">
        <f t="shared" si="6"/>
        <v>0</v>
      </c>
      <c r="AB18" s="76"/>
      <c r="AC18" s="25"/>
      <c r="AD18" s="3"/>
    </row>
    <row r="19" spans="2:30" ht="12.75">
      <c r="B19" s="3"/>
      <c r="C19" s="69"/>
      <c r="D19" s="111"/>
      <c r="E19" s="3"/>
      <c r="F19" s="3"/>
      <c r="G19" s="76"/>
      <c r="H19" s="3"/>
      <c r="I19" s="250"/>
      <c r="K19" s="115"/>
      <c r="L19" s="3"/>
      <c r="M19" s="33"/>
      <c r="N19" s="250"/>
      <c r="O19" s="3"/>
      <c r="P19" s="300"/>
      <c r="Q19" s="300"/>
      <c r="R19" s="300"/>
      <c r="S19" s="300"/>
      <c r="T19" s="300"/>
      <c r="U19" s="287"/>
      <c r="V19" s="315"/>
      <c r="W19" s="315"/>
      <c r="X19" s="315"/>
      <c r="Y19" s="315"/>
      <c r="Z19" s="315"/>
      <c r="AA19" s="315"/>
      <c r="AB19" s="76"/>
      <c r="AC19" s="25"/>
      <c r="AD19" s="3"/>
    </row>
    <row r="20" spans="2:30" ht="12.75">
      <c r="B20" s="3"/>
      <c r="C20" s="69"/>
      <c r="D20" s="111"/>
      <c r="E20" s="3"/>
      <c r="F20" s="3"/>
      <c r="G20" s="76"/>
      <c r="H20" s="3"/>
      <c r="I20" s="250"/>
      <c r="K20" s="115"/>
      <c r="L20" s="3"/>
      <c r="M20" s="33"/>
      <c r="N20" s="250"/>
      <c r="O20" s="3"/>
      <c r="P20" s="300"/>
      <c r="Q20" s="300"/>
      <c r="R20" s="300"/>
      <c r="S20" s="300"/>
      <c r="T20" s="300"/>
      <c r="U20" s="287"/>
      <c r="V20" s="315"/>
      <c r="W20" s="315"/>
      <c r="X20" s="315"/>
      <c r="Y20" s="315"/>
      <c r="Z20" s="315"/>
      <c r="AA20" s="315"/>
      <c r="AB20" s="76"/>
      <c r="AC20" s="25"/>
      <c r="AD20" s="3"/>
    </row>
    <row r="21" spans="2:30" ht="12.75">
      <c r="B21" s="3"/>
      <c r="C21" s="69"/>
      <c r="D21" s="111"/>
      <c r="E21" s="3"/>
      <c r="F21" s="3"/>
      <c r="G21" s="76"/>
      <c r="H21" s="3"/>
      <c r="I21" s="250"/>
      <c r="K21" s="115"/>
      <c r="L21" s="3"/>
      <c r="M21" s="33"/>
      <c r="N21" s="250"/>
      <c r="O21" s="3"/>
      <c r="P21" s="300"/>
      <c r="Q21" s="300"/>
      <c r="R21" s="300"/>
      <c r="S21" s="300"/>
      <c r="T21" s="300"/>
      <c r="U21" s="287"/>
      <c r="V21" s="315"/>
      <c r="W21" s="315"/>
      <c r="X21" s="315"/>
      <c r="Y21" s="315"/>
      <c r="Z21" s="315"/>
      <c r="AA21" s="315"/>
      <c r="AB21" s="76"/>
      <c r="AC21" s="25"/>
      <c r="AD21" s="3"/>
    </row>
    <row r="22" spans="2:30" ht="12.75">
      <c r="B22" s="3"/>
      <c r="C22" s="69"/>
      <c r="D22" s="111"/>
      <c r="E22" s="3"/>
      <c r="F22" s="3"/>
      <c r="G22" s="76"/>
      <c r="H22" s="3"/>
      <c r="I22" s="250"/>
      <c r="K22" s="115"/>
      <c r="L22" s="3"/>
      <c r="M22" s="33"/>
      <c r="N22" s="250"/>
      <c r="O22" s="3"/>
      <c r="P22" s="300"/>
      <c r="Q22" s="300"/>
      <c r="R22" s="300"/>
      <c r="S22" s="300"/>
      <c r="T22" s="300"/>
      <c r="U22" s="287"/>
      <c r="V22" s="315"/>
      <c r="W22" s="315"/>
      <c r="X22" s="315"/>
      <c r="Y22" s="315"/>
      <c r="Z22" s="315"/>
      <c r="AA22" s="315"/>
      <c r="AB22" s="76"/>
      <c r="AC22" s="25"/>
      <c r="AD22" s="3"/>
    </row>
    <row r="23" spans="2:30" ht="12.75">
      <c r="B23" s="3"/>
      <c r="C23" s="69"/>
      <c r="D23" s="111"/>
      <c r="E23" s="3"/>
      <c r="F23" s="3"/>
      <c r="G23" s="76"/>
      <c r="H23" s="3"/>
      <c r="I23" s="250"/>
      <c r="K23" s="115"/>
      <c r="L23" s="3"/>
      <c r="M23" s="33"/>
      <c r="N23" s="250"/>
      <c r="O23" s="3"/>
      <c r="P23" s="300"/>
      <c r="Q23" s="300"/>
      <c r="R23" s="300"/>
      <c r="S23" s="300"/>
      <c r="T23" s="300"/>
      <c r="U23" s="287"/>
      <c r="V23" s="315"/>
      <c r="W23" s="315"/>
      <c r="X23" s="315"/>
      <c r="Y23" s="315"/>
      <c r="Z23" s="315"/>
      <c r="AA23" s="315"/>
      <c r="AB23" s="76"/>
      <c r="AC23" s="25"/>
      <c r="AD23" s="3"/>
    </row>
    <row r="24" spans="2:30" ht="25.5">
      <c r="B24" s="3"/>
      <c r="C24" s="317" t="s">
        <v>543</v>
      </c>
      <c r="D24" s="318"/>
      <c r="E24" s="319" t="s">
        <v>542</v>
      </c>
      <c r="F24" s="319" t="s">
        <v>112</v>
      </c>
      <c r="G24" s="320">
        <v>0.005</v>
      </c>
      <c r="H24" s="319" t="s">
        <v>484</v>
      </c>
      <c r="I24" s="321">
        <f>'Step6-Hg products-substances'!C40</f>
        <v>0</v>
      </c>
      <c r="J24" s="319" t="s">
        <v>119</v>
      </c>
      <c r="K24" s="554">
        <f>(I24*G24/1000)*'Step6-Hg products-substances'!$C$41/100</f>
        <v>0</v>
      </c>
      <c r="L24" s="319" t="s">
        <v>36</v>
      </c>
      <c r="M24" s="16" t="s">
        <v>102</v>
      </c>
      <c r="N24" s="250"/>
      <c r="O24" s="3"/>
      <c r="P24" s="300"/>
      <c r="Q24" s="300"/>
      <c r="R24" s="300"/>
      <c r="S24" s="300"/>
      <c r="T24" s="300"/>
      <c r="U24" s="287"/>
      <c r="V24" s="315">
        <f aca="true" t="shared" si="7" ref="V24:AA24">SUM(V25:V27)</f>
        <v>0</v>
      </c>
      <c r="W24" s="315">
        <f t="shared" si="7"/>
        <v>0</v>
      </c>
      <c r="X24" s="315">
        <f t="shared" si="7"/>
        <v>0</v>
      </c>
      <c r="Y24" s="315">
        <f t="shared" si="7"/>
        <v>0</v>
      </c>
      <c r="Z24" s="315">
        <f t="shared" si="7"/>
        <v>0</v>
      </c>
      <c r="AA24" s="315">
        <f t="shared" si="7"/>
        <v>0</v>
      </c>
      <c r="AB24" s="76"/>
      <c r="AC24" s="25"/>
      <c r="AD24" s="3"/>
    </row>
    <row r="25" spans="2:30" ht="25.5">
      <c r="B25" s="3"/>
      <c r="C25" s="69" t="s">
        <v>262</v>
      </c>
      <c r="D25" s="111"/>
      <c r="E25" s="3" t="s">
        <v>43</v>
      </c>
      <c r="F25" s="3" t="s">
        <v>112</v>
      </c>
      <c r="G25" s="76" t="s">
        <v>43</v>
      </c>
      <c r="H25" s="3" t="s">
        <v>112</v>
      </c>
      <c r="I25" s="250"/>
      <c r="J25" t="s">
        <v>281</v>
      </c>
      <c r="K25" s="115" t="e">
        <f aca="true" t="shared" si="8" ref="K25:K32">G25*I25/1000</f>
        <v>#VALUE!</v>
      </c>
      <c r="L25" s="3" t="s">
        <v>36</v>
      </c>
      <c r="M25" s="15" t="s">
        <v>99</v>
      </c>
      <c r="N25" s="250">
        <f>IF(OR('Step5-Waste treatment+recycling'!$B$4=yes,'Step5-Waste treatment+recycling'!$B$4=yes),K24,0)</f>
        <v>0</v>
      </c>
      <c r="O25" s="3" t="s">
        <v>36</v>
      </c>
      <c r="P25" s="300">
        <v>0.1</v>
      </c>
      <c r="Q25" s="300">
        <v>0.3</v>
      </c>
      <c r="R25" s="300"/>
      <c r="S25" s="300"/>
      <c r="T25" s="300">
        <v>0.6</v>
      </c>
      <c r="U25" s="300"/>
      <c r="V25" s="116">
        <f aca="true" t="shared" si="9" ref="V25:V32">$N25*P25</f>
        <v>0</v>
      </c>
      <c r="W25" s="116">
        <f aca="true" t="shared" si="10" ref="W25:W32">$N25*Q25</f>
        <v>0</v>
      </c>
      <c r="X25" s="116">
        <f aca="true" t="shared" si="11" ref="X25:X32">$N25*R25</f>
        <v>0</v>
      </c>
      <c r="Y25" s="116">
        <f aca="true" t="shared" si="12" ref="Y25:Y32">$N25*S25</f>
        <v>0</v>
      </c>
      <c r="Z25" s="116">
        <f aca="true" t="shared" si="13" ref="Z25:Z32">$N25*T25</f>
        <v>0</v>
      </c>
      <c r="AA25" s="116">
        <f aca="true" t="shared" si="14" ref="AA25:AA32">$N25*U25</f>
        <v>0</v>
      </c>
      <c r="AB25" s="76"/>
      <c r="AC25" s="25"/>
      <c r="AD25" s="3"/>
    </row>
    <row r="26" spans="2:30" ht="25.5">
      <c r="B26" s="3"/>
      <c r="C26" s="69" t="s">
        <v>263</v>
      </c>
      <c r="D26" s="111"/>
      <c r="E26" s="3" t="s">
        <v>43</v>
      </c>
      <c r="F26" s="3" t="s">
        <v>112</v>
      </c>
      <c r="G26" s="76" t="s">
        <v>43</v>
      </c>
      <c r="H26" s="3" t="s">
        <v>112</v>
      </c>
      <c r="I26" s="250"/>
      <c r="J26" t="s">
        <v>281</v>
      </c>
      <c r="K26" s="115" t="e">
        <f t="shared" si="8"/>
        <v>#VALUE!</v>
      </c>
      <c r="L26" s="3" t="s">
        <v>36</v>
      </c>
      <c r="M26" s="15" t="s">
        <v>114</v>
      </c>
      <c r="N26" s="250">
        <f>IF(OR('Step5-Waste treatment+recycling'!$B$4=no,'Step5-Waste treatment+recycling'!$B$4=no),K24,0)</f>
        <v>0</v>
      </c>
      <c r="O26" s="3" t="s">
        <v>36</v>
      </c>
      <c r="P26" s="300">
        <v>0.2</v>
      </c>
      <c r="Q26" s="300">
        <v>0.3</v>
      </c>
      <c r="R26" s="300">
        <v>0.2</v>
      </c>
      <c r="S26" s="300"/>
      <c r="T26" s="300">
        <v>0.3</v>
      </c>
      <c r="U26" s="300"/>
      <c r="V26" s="116">
        <f t="shared" si="9"/>
        <v>0</v>
      </c>
      <c r="W26" s="116">
        <f t="shared" si="10"/>
        <v>0</v>
      </c>
      <c r="X26" s="116">
        <f t="shared" si="11"/>
        <v>0</v>
      </c>
      <c r="Y26" s="116">
        <f t="shared" si="12"/>
        <v>0</v>
      </c>
      <c r="Z26" s="116">
        <f t="shared" si="13"/>
        <v>0</v>
      </c>
      <c r="AA26" s="116">
        <f t="shared" si="14"/>
        <v>0</v>
      </c>
      <c r="AB26" s="76"/>
      <c r="AC26" s="25"/>
      <c r="AD26" s="3"/>
    </row>
    <row r="27" spans="2:30" ht="25.5">
      <c r="B27" s="3"/>
      <c r="C27" s="69" t="s">
        <v>264</v>
      </c>
      <c r="D27" s="111"/>
      <c r="E27" s="3" t="s">
        <v>43</v>
      </c>
      <c r="F27" s="3" t="s">
        <v>112</v>
      </c>
      <c r="G27" s="76" t="s">
        <v>43</v>
      </c>
      <c r="H27" s="3" t="s">
        <v>112</v>
      </c>
      <c r="I27" s="250"/>
      <c r="J27" t="s">
        <v>281</v>
      </c>
      <c r="K27" s="115" t="e">
        <f t="shared" si="8"/>
        <v>#VALUE!</v>
      </c>
      <c r="L27" s="3" t="s">
        <v>36</v>
      </c>
      <c r="M27" s="15" t="s">
        <v>100</v>
      </c>
      <c r="N27" s="250"/>
      <c r="O27" s="3" t="s">
        <v>36</v>
      </c>
      <c r="P27" s="300">
        <v>0.1</v>
      </c>
      <c r="Q27" s="300">
        <v>0.3</v>
      </c>
      <c r="R27" s="300"/>
      <c r="S27" s="300"/>
      <c r="T27" s="300">
        <v>0.3</v>
      </c>
      <c r="U27" s="300">
        <v>0.3</v>
      </c>
      <c r="V27" s="116">
        <f t="shared" si="9"/>
        <v>0</v>
      </c>
      <c r="W27" s="116">
        <f t="shared" si="10"/>
        <v>0</v>
      </c>
      <c r="X27" s="116">
        <f t="shared" si="11"/>
        <v>0</v>
      </c>
      <c r="Y27" s="116">
        <f t="shared" si="12"/>
        <v>0</v>
      </c>
      <c r="Z27" s="116">
        <f t="shared" si="13"/>
        <v>0</v>
      </c>
      <c r="AA27" s="116">
        <f t="shared" si="14"/>
        <v>0</v>
      </c>
      <c r="AB27" s="76"/>
      <c r="AC27" s="25"/>
      <c r="AD27" s="3"/>
    </row>
    <row r="28" spans="2:30" ht="25.5">
      <c r="B28" s="3"/>
      <c r="C28" s="69" t="s">
        <v>265</v>
      </c>
      <c r="D28" s="111"/>
      <c r="E28" s="3" t="s">
        <v>43</v>
      </c>
      <c r="F28" s="3" t="s">
        <v>112</v>
      </c>
      <c r="G28" s="76" t="s">
        <v>43</v>
      </c>
      <c r="H28" s="3" t="s">
        <v>112</v>
      </c>
      <c r="I28" s="250"/>
      <c r="J28" t="s">
        <v>281</v>
      </c>
      <c r="K28" s="115" t="e">
        <f t="shared" si="8"/>
        <v>#VALUE!</v>
      </c>
      <c r="L28" s="3" t="s">
        <v>36</v>
      </c>
      <c r="M28" s="33"/>
      <c r="N28" s="250"/>
      <c r="O28" s="3" t="s">
        <v>36</v>
      </c>
      <c r="P28" s="76"/>
      <c r="Q28" s="76"/>
      <c r="R28" s="76"/>
      <c r="S28" s="180"/>
      <c r="T28" s="76"/>
      <c r="U28" s="76"/>
      <c r="V28" s="116">
        <f t="shared" si="9"/>
        <v>0</v>
      </c>
      <c r="W28" s="116">
        <f t="shared" si="10"/>
        <v>0</v>
      </c>
      <c r="X28" s="116">
        <f t="shared" si="11"/>
        <v>0</v>
      </c>
      <c r="Y28" s="116">
        <f t="shared" si="12"/>
        <v>0</v>
      </c>
      <c r="Z28" s="116">
        <f t="shared" si="13"/>
        <v>0</v>
      </c>
      <c r="AA28" s="116">
        <f t="shared" si="14"/>
        <v>0</v>
      </c>
      <c r="AB28" s="76"/>
      <c r="AC28" s="25"/>
      <c r="AD28" s="3"/>
    </row>
    <row r="29" spans="2:30" ht="12.75">
      <c r="B29" s="3"/>
      <c r="C29" s="69" t="s">
        <v>266</v>
      </c>
      <c r="D29" s="111"/>
      <c r="E29" s="3" t="s">
        <v>43</v>
      </c>
      <c r="F29" s="3" t="s">
        <v>112</v>
      </c>
      <c r="G29" s="76" t="s">
        <v>43</v>
      </c>
      <c r="H29" s="3" t="s">
        <v>112</v>
      </c>
      <c r="I29" s="250"/>
      <c r="J29" t="s">
        <v>281</v>
      </c>
      <c r="K29" s="115" t="e">
        <f t="shared" si="8"/>
        <v>#VALUE!</v>
      </c>
      <c r="L29" s="3" t="s">
        <v>36</v>
      </c>
      <c r="M29" s="33"/>
      <c r="N29" s="250"/>
      <c r="O29" s="3" t="s">
        <v>36</v>
      </c>
      <c r="P29" s="76"/>
      <c r="Q29" s="76"/>
      <c r="R29" s="76"/>
      <c r="S29" s="180"/>
      <c r="T29" s="76"/>
      <c r="U29" s="76"/>
      <c r="V29" s="116">
        <f t="shared" si="9"/>
        <v>0</v>
      </c>
      <c r="W29" s="116">
        <f t="shared" si="10"/>
        <v>0</v>
      </c>
      <c r="X29" s="116">
        <f t="shared" si="11"/>
        <v>0</v>
      </c>
      <c r="Y29" s="116">
        <f t="shared" si="12"/>
        <v>0</v>
      </c>
      <c r="Z29" s="116">
        <f t="shared" si="13"/>
        <v>0</v>
      </c>
      <c r="AA29" s="116">
        <f t="shared" si="14"/>
        <v>0</v>
      </c>
      <c r="AB29" s="76"/>
      <c r="AC29" s="25"/>
      <c r="AD29" s="3"/>
    </row>
    <row r="30" spans="2:30" ht="12.75">
      <c r="B30" s="3"/>
      <c r="C30" s="69" t="s">
        <v>267</v>
      </c>
      <c r="D30" s="111"/>
      <c r="E30" s="3" t="s">
        <v>43</v>
      </c>
      <c r="F30" s="3" t="s">
        <v>112</v>
      </c>
      <c r="G30" s="76" t="s">
        <v>43</v>
      </c>
      <c r="H30" s="3" t="s">
        <v>112</v>
      </c>
      <c r="I30" s="250"/>
      <c r="J30" t="s">
        <v>281</v>
      </c>
      <c r="K30" s="115" t="e">
        <f t="shared" si="8"/>
        <v>#VALUE!</v>
      </c>
      <c r="L30" s="3" t="s">
        <v>36</v>
      </c>
      <c r="M30" s="33"/>
      <c r="N30" s="250"/>
      <c r="O30" s="3" t="s">
        <v>36</v>
      </c>
      <c r="P30" s="76"/>
      <c r="Q30" s="76"/>
      <c r="R30" s="76"/>
      <c r="S30" s="180"/>
      <c r="T30" s="76"/>
      <c r="U30" s="76"/>
      <c r="V30" s="116">
        <f t="shared" si="9"/>
        <v>0</v>
      </c>
      <c r="W30" s="116">
        <f t="shared" si="10"/>
        <v>0</v>
      </c>
      <c r="X30" s="116">
        <f t="shared" si="11"/>
        <v>0</v>
      </c>
      <c r="Y30" s="116">
        <f t="shared" si="12"/>
        <v>0</v>
      </c>
      <c r="Z30" s="116">
        <f t="shared" si="13"/>
        <v>0</v>
      </c>
      <c r="AA30" s="116">
        <f t="shared" si="14"/>
        <v>0</v>
      </c>
      <c r="AB30" s="76"/>
      <c r="AC30" s="25"/>
      <c r="AD30" s="3"/>
    </row>
    <row r="31" spans="2:30" ht="12.75">
      <c r="B31" s="3"/>
      <c r="C31" s="69" t="s">
        <v>268</v>
      </c>
      <c r="D31" s="111"/>
      <c r="E31" s="3" t="s">
        <v>43</v>
      </c>
      <c r="F31" s="3" t="s">
        <v>112</v>
      </c>
      <c r="G31" s="76" t="s">
        <v>43</v>
      </c>
      <c r="H31" s="3" t="s">
        <v>112</v>
      </c>
      <c r="I31" s="250"/>
      <c r="J31" t="s">
        <v>281</v>
      </c>
      <c r="K31" s="115" t="e">
        <f t="shared" si="8"/>
        <v>#VALUE!</v>
      </c>
      <c r="L31" s="3" t="s">
        <v>36</v>
      </c>
      <c r="M31" s="33"/>
      <c r="N31" s="250"/>
      <c r="O31" s="3" t="s">
        <v>36</v>
      </c>
      <c r="P31" s="76"/>
      <c r="Q31" s="76"/>
      <c r="R31" s="76"/>
      <c r="S31" s="180"/>
      <c r="T31" s="76"/>
      <c r="U31" s="76"/>
      <c r="V31" s="116">
        <f t="shared" si="9"/>
        <v>0</v>
      </c>
      <c r="W31" s="116">
        <f t="shared" si="10"/>
        <v>0</v>
      </c>
      <c r="X31" s="116">
        <f t="shared" si="11"/>
        <v>0</v>
      </c>
      <c r="Y31" s="116">
        <f t="shared" si="12"/>
        <v>0</v>
      </c>
      <c r="Z31" s="116">
        <f t="shared" si="13"/>
        <v>0</v>
      </c>
      <c r="AA31" s="116">
        <f t="shared" si="14"/>
        <v>0</v>
      </c>
      <c r="AB31" s="76"/>
      <c r="AC31" s="25"/>
      <c r="AD31" s="3"/>
    </row>
    <row r="32" spans="2:30" ht="12.75">
      <c r="B32" s="3"/>
      <c r="C32" s="69" t="s">
        <v>269</v>
      </c>
      <c r="D32" s="111"/>
      <c r="E32" s="3" t="s">
        <v>43</v>
      </c>
      <c r="F32" s="3" t="s">
        <v>112</v>
      </c>
      <c r="G32" s="76" t="s">
        <v>43</v>
      </c>
      <c r="H32" s="3" t="s">
        <v>112</v>
      </c>
      <c r="I32" s="250"/>
      <c r="J32" t="s">
        <v>281</v>
      </c>
      <c r="K32" s="115" t="e">
        <f t="shared" si="8"/>
        <v>#VALUE!</v>
      </c>
      <c r="L32" s="3" t="s">
        <v>36</v>
      </c>
      <c r="M32" s="33"/>
      <c r="N32" s="250"/>
      <c r="O32" s="3" t="s">
        <v>36</v>
      </c>
      <c r="P32" s="76"/>
      <c r="Q32" s="76"/>
      <c r="R32" s="76"/>
      <c r="S32" s="180"/>
      <c r="T32" s="76"/>
      <c r="U32" s="76"/>
      <c r="V32" s="116">
        <f t="shared" si="9"/>
        <v>0</v>
      </c>
      <c r="W32" s="116">
        <f t="shared" si="10"/>
        <v>0</v>
      </c>
      <c r="X32" s="116">
        <f t="shared" si="11"/>
        <v>0</v>
      </c>
      <c r="Y32" s="116">
        <f t="shared" si="12"/>
        <v>0</v>
      </c>
      <c r="Z32" s="116">
        <f t="shared" si="13"/>
        <v>0</v>
      </c>
      <c r="AA32" s="116">
        <f t="shared" si="14"/>
        <v>0</v>
      </c>
      <c r="AB32" s="76"/>
      <c r="AC32" s="25"/>
      <c r="AD32" s="3"/>
    </row>
    <row r="33" spans="2:30" ht="12.75">
      <c r="B33" s="3"/>
      <c r="C33" s="26"/>
      <c r="D33" s="111"/>
      <c r="E33" s="3"/>
      <c r="F33" s="3"/>
      <c r="G33" s="76"/>
      <c r="H33" s="3"/>
      <c r="I33" s="250"/>
      <c r="K33" s="115"/>
      <c r="L33" s="3"/>
      <c r="M33" s="33"/>
      <c r="N33" s="250"/>
      <c r="O33" s="3"/>
      <c r="P33" s="76"/>
      <c r="Q33" s="76"/>
      <c r="R33" s="76"/>
      <c r="S33" s="76"/>
      <c r="T33" s="76"/>
      <c r="U33" s="76"/>
      <c r="V33" s="114"/>
      <c r="W33" s="114"/>
      <c r="X33" s="114"/>
      <c r="Y33" s="114"/>
      <c r="Z33" s="114"/>
      <c r="AA33" s="114"/>
      <c r="AB33" s="76"/>
      <c r="AC33" s="25"/>
      <c r="AD33" s="3"/>
    </row>
    <row r="34" spans="2:28" s="55" customFormat="1" ht="12.75">
      <c r="B34" s="104"/>
      <c r="C34" s="137"/>
      <c r="D34" s="111"/>
      <c r="E34" s="104"/>
      <c r="G34" s="76"/>
      <c r="I34" s="249"/>
      <c r="K34" s="58"/>
      <c r="L34" s="104"/>
      <c r="M34" s="175"/>
      <c r="N34" s="250"/>
      <c r="O34" s="104"/>
      <c r="P34" s="171"/>
      <c r="Q34" s="171"/>
      <c r="R34" s="171"/>
      <c r="S34" s="171"/>
      <c r="T34" s="171"/>
      <c r="U34" s="171"/>
      <c r="V34" s="114"/>
      <c r="W34" s="114"/>
      <c r="X34" s="114"/>
      <c r="Y34" s="114"/>
      <c r="Z34" s="114"/>
      <c r="AA34" s="114"/>
      <c r="AB34" s="76"/>
    </row>
    <row r="35" spans="2:30" ht="25.5">
      <c r="B35" s="3" t="s">
        <v>239</v>
      </c>
      <c r="C35" s="26" t="s">
        <v>238</v>
      </c>
      <c r="D35" s="111"/>
      <c r="E35" s="3"/>
      <c r="F35" s="3"/>
      <c r="G35" s="76"/>
      <c r="H35" s="3"/>
      <c r="I35" s="250"/>
      <c r="K35" s="114"/>
      <c r="L35" s="3"/>
      <c r="M35" s="33"/>
      <c r="N35" s="250"/>
      <c r="O35" s="3"/>
      <c r="P35" s="76"/>
      <c r="Q35" s="76"/>
      <c r="R35" s="76"/>
      <c r="S35" s="76"/>
      <c r="T35" s="76"/>
      <c r="U35" s="76"/>
      <c r="V35" s="114">
        <f aca="true" t="shared" si="15" ref="V35:AA35">SUM(V39:V49)</f>
        <v>0</v>
      </c>
      <c r="W35" s="114">
        <f t="shared" si="15"/>
        <v>0</v>
      </c>
      <c r="X35" s="114">
        <f t="shared" si="15"/>
        <v>0</v>
      </c>
      <c r="Y35" s="114">
        <f>SUM(Y39:Y49)</f>
        <v>0</v>
      </c>
      <c r="Z35" s="114">
        <f t="shared" si="15"/>
        <v>0</v>
      </c>
      <c r="AA35" s="114">
        <f t="shared" si="15"/>
        <v>0</v>
      </c>
      <c r="AB35" s="76"/>
      <c r="AC35" s="25"/>
      <c r="AD35" s="3"/>
    </row>
    <row r="36" spans="2:30" ht="12.75">
      <c r="B36" s="3"/>
      <c r="C36" s="26"/>
      <c r="D36" s="111"/>
      <c r="E36" s="3"/>
      <c r="F36" s="3"/>
      <c r="G36" s="76"/>
      <c r="H36" s="3"/>
      <c r="I36" s="250"/>
      <c r="K36" s="114"/>
      <c r="L36" s="3"/>
      <c r="M36" s="33"/>
      <c r="N36" s="250"/>
      <c r="O36" s="3"/>
      <c r="P36" s="76"/>
      <c r="Q36" s="76"/>
      <c r="R36" s="76"/>
      <c r="S36" s="76"/>
      <c r="T36" s="76"/>
      <c r="U36" s="76"/>
      <c r="V36" s="114"/>
      <c r="W36" s="114"/>
      <c r="X36" s="114"/>
      <c r="Y36" s="114"/>
      <c r="Z36" s="114"/>
      <c r="AA36" s="114"/>
      <c r="AB36" s="76"/>
      <c r="AC36" s="25"/>
      <c r="AD36" s="3"/>
    </row>
    <row r="37" spans="1:30" ht="25.5">
      <c r="A37" s="322"/>
      <c r="B37" s="323"/>
      <c r="C37" s="324" t="s">
        <v>483</v>
      </c>
      <c r="D37" s="325"/>
      <c r="E37" s="323"/>
      <c r="F37" s="323"/>
      <c r="G37" s="326">
        <v>0.01</v>
      </c>
      <c r="H37" s="323"/>
      <c r="I37" s="327">
        <f>'Step6-Hg products-substances'!C40</f>
        <v>0</v>
      </c>
      <c r="J37" s="3" t="s">
        <v>119</v>
      </c>
      <c r="K37" s="347">
        <f>(I37*G37/1000)*'Step6-Hg products-substances'!$C$44/100</f>
        <v>0</v>
      </c>
      <c r="L37" s="323"/>
      <c r="M37" s="328"/>
      <c r="N37" s="327">
        <f>K37</f>
        <v>0</v>
      </c>
      <c r="O37" s="323" t="s">
        <v>36</v>
      </c>
      <c r="P37" s="76"/>
      <c r="Q37" s="76">
        <v>0.33</v>
      </c>
      <c r="R37" s="76"/>
      <c r="S37" s="76"/>
      <c r="T37" s="76">
        <v>0.33</v>
      </c>
      <c r="U37" s="76">
        <v>0.34</v>
      </c>
      <c r="V37" s="315">
        <f aca="true" t="shared" si="16" ref="V37:AA39">$N37*P37</f>
        <v>0</v>
      </c>
      <c r="W37" s="315">
        <f t="shared" si="16"/>
        <v>0</v>
      </c>
      <c r="X37" s="315">
        <f t="shared" si="16"/>
        <v>0</v>
      </c>
      <c r="Y37" s="315">
        <f t="shared" si="16"/>
        <v>0</v>
      </c>
      <c r="Z37" s="315">
        <f t="shared" si="16"/>
        <v>0</v>
      </c>
      <c r="AA37" s="315">
        <f t="shared" si="16"/>
        <v>0</v>
      </c>
      <c r="AB37" s="76"/>
      <c r="AC37" s="25"/>
      <c r="AD37" s="3"/>
    </row>
    <row r="38" spans="1:30" ht="25.5">
      <c r="A38" s="322"/>
      <c r="B38" s="323"/>
      <c r="C38" s="324" t="s">
        <v>481</v>
      </c>
      <c r="D38" s="325"/>
      <c r="E38" s="323"/>
      <c r="F38" s="323"/>
      <c r="G38" s="326">
        <v>0.04</v>
      </c>
      <c r="H38" s="323"/>
      <c r="I38" s="327">
        <f>'Step6-Hg products-substances'!C40</f>
        <v>0</v>
      </c>
      <c r="J38" s="3" t="s">
        <v>119</v>
      </c>
      <c r="K38" s="347">
        <f>(I38*G38/1000)*'Step6-Hg products-substances'!$C$47/100</f>
        <v>0</v>
      </c>
      <c r="L38" s="323"/>
      <c r="M38" s="328"/>
      <c r="N38" s="327">
        <f>K38</f>
        <v>0</v>
      </c>
      <c r="O38" s="323" t="s">
        <v>36</v>
      </c>
      <c r="P38" s="76"/>
      <c r="Q38" s="76">
        <v>0.33</v>
      </c>
      <c r="R38" s="76"/>
      <c r="S38" s="76"/>
      <c r="T38" s="76">
        <v>0.33</v>
      </c>
      <c r="U38" s="76">
        <v>0.34</v>
      </c>
      <c r="V38" s="315">
        <f t="shared" si="16"/>
        <v>0</v>
      </c>
      <c r="W38" s="315">
        <f t="shared" si="16"/>
        <v>0</v>
      </c>
      <c r="X38" s="315">
        <f t="shared" si="16"/>
        <v>0</v>
      </c>
      <c r="Y38" s="315">
        <f t="shared" si="16"/>
        <v>0</v>
      </c>
      <c r="Z38" s="315">
        <f t="shared" si="16"/>
        <v>0</v>
      </c>
      <c r="AA38" s="315">
        <f t="shared" si="16"/>
        <v>0</v>
      </c>
      <c r="AB38" s="76"/>
      <c r="AC38" s="25"/>
      <c r="AD38" s="3"/>
    </row>
    <row r="39" spans="3:28" ht="12.75">
      <c r="C39" s="68" t="s">
        <v>270</v>
      </c>
      <c r="D39" s="111"/>
      <c r="E39" s="3" t="s">
        <v>43</v>
      </c>
      <c r="F39" s="3" t="s">
        <v>112</v>
      </c>
      <c r="G39" s="76" t="s">
        <v>43</v>
      </c>
      <c r="H39" s="3" t="s">
        <v>112</v>
      </c>
      <c r="I39" s="250"/>
      <c r="J39" t="s">
        <v>281</v>
      </c>
      <c r="K39" s="115" t="e">
        <f>G39*I39/1000</f>
        <v>#VALUE!</v>
      </c>
      <c r="L39" s="3" t="s">
        <v>36</v>
      </c>
      <c r="M39" s="33"/>
      <c r="N39" s="250"/>
      <c r="O39" s="3" t="s">
        <v>36</v>
      </c>
      <c r="P39" s="76"/>
      <c r="Q39" s="76"/>
      <c r="R39" s="76"/>
      <c r="S39" s="180"/>
      <c r="T39" s="76"/>
      <c r="U39" s="76"/>
      <c r="V39" s="116">
        <f t="shared" si="16"/>
        <v>0</v>
      </c>
      <c r="W39" s="116">
        <f t="shared" si="16"/>
        <v>0</v>
      </c>
      <c r="X39" s="116">
        <f t="shared" si="16"/>
        <v>0</v>
      </c>
      <c r="Y39" s="116">
        <f t="shared" si="16"/>
        <v>0</v>
      </c>
      <c r="Z39" s="116">
        <f t="shared" si="16"/>
        <v>0</v>
      </c>
      <c r="AA39" s="116">
        <f t="shared" si="16"/>
        <v>0</v>
      </c>
      <c r="AB39" s="76"/>
    </row>
    <row r="40" spans="3:28" ht="12.75">
      <c r="C40" s="68" t="s">
        <v>271</v>
      </c>
      <c r="D40" s="76"/>
      <c r="E40" s="3" t="s">
        <v>43</v>
      </c>
      <c r="F40" s="3" t="s">
        <v>112</v>
      </c>
      <c r="G40" s="76" t="s">
        <v>43</v>
      </c>
      <c r="H40" s="3" t="s">
        <v>112</v>
      </c>
      <c r="I40" s="250"/>
      <c r="J40" t="s">
        <v>281</v>
      </c>
      <c r="K40" s="115" t="e">
        <f aca="true" t="shared" si="17" ref="K40:K49">G40*I40/1000</f>
        <v>#VALUE!</v>
      </c>
      <c r="L40" s="3" t="s">
        <v>36</v>
      </c>
      <c r="M40" s="33"/>
      <c r="N40" s="250"/>
      <c r="O40" s="3" t="s">
        <v>36</v>
      </c>
      <c r="P40" s="76"/>
      <c r="Q40" s="76"/>
      <c r="R40" s="76"/>
      <c r="S40" s="180"/>
      <c r="T40" s="76"/>
      <c r="U40" s="76"/>
      <c r="V40" s="116">
        <f aca="true" t="shared" si="18" ref="V40:V49">$N40*P40</f>
        <v>0</v>
      </c>
      <c r="W40" s="116">
        <f aca="true" t="shared" si="19" ref="W40:W49">$N40*Q40</f>
        <v>0</v>
      </c>
      <c r="X40" s="116">
        <f aca="true" t="shared" si="20" ref="X40:X49">$N40*R40</f>
        <v>0</v>
      </c>
      <c r="Y40" s="116">
        <f aca="true" t="shared" si="21" ref="Y40:Y49">$N40*S40</f>
        <v>0</v>
      </c>
      <c r="Z40" s="116">
        <f aca="true" t="shared" si="22" ref="Z40:Z49">$N40*T40</f>
        <v>0</v>
      </c>
      <c r="AA40" s="116">
        <f aca="true" t="shared" si="23" ref="AA40:AA49">$N40*U40</f>
        <v>0</v>
      </c>
      <c r="AB40" s="76"/>
    </row>
    <row r="41" spans="3:28" ht="12.75">
      <c r="C41" s="68" t="s">
        <v>272</v>
      </c>
      <c r="D41" s="76"/>
      <c r="E41" s="3" t="s">
        <v>43</v>
      </c>
      <c r="F41" s="3" t="s">
        <v>112</v>
      </c>
      <c r="G41" s="76" t="s">
        <v>43</v>
      </c>
      <c r="H41" s="3" t="s">
        <v>112</v>
      </c>
      <c r="I41" s="250"/>
      <c r="J41" t="s">
        <v>281</v>
      </c>
      <c r="K41" s="115" t="e">
        <f t="shared" si="17"/>
        <v>#VALUE!</v>
      </c>
      <c r="L41" s="3" t="s">
        <v>36</v>
      </c>
      <c r="M41" s="33"/>
      <c r="N41" s="250"/>
      <c r="O41" s="3" t="s">
        <v>36</v>
      </c>
      <c r="P41" s="76"/>
      <c r="Q41" s="76"/>
      <c r="R41" s="76"/>
      <c r="S41" s="180"/>
      <c r="T41" s="76"/>
      <c r="U41" s="76"/>
      <c r="V41" s="116">
        <f t="shared" si="18"/>
        <v>0</v>
      </c>
      <c r="W41" s="116">
        <f t="shared" si="19"/>
        <v>0</v>
      </c>
      <c r="X41" s="116">
        <f t="shared" si="20"/>
        <v>0</v>
      </c>
      <c r="Y41" s="116">
        <f t="shared" si="21"/>
        <v>0</v>
      </c>
      <c r="Z41" s="116">
        <f t="shared" si="22"/>
        <v>0</v>
      </c>
      <c r="AA41" s="116">
        <f t="shared" si="23"/>
        <v>0</v>
      </c>
      <c r="AB41" s="76"/>
    </row>
    <row r="42" spans="3:28" ht="12.75">
      <c r="C42" s="68" t="s">
        <v>273</v>
      </c>
      <c r="D42" s="76"/>
      <c r="E42" s="3" t="s">
        <v>43</v>
      </c>
      <c r="F42" s="3" t="s">
        <v>112</v>
      </c>
      <c r="G42" s="76" t="s">
        <v>43</v>
      </c>
      <c r="H42" s="3" t="s">
        <v>112</v>
      </c>
      <c r="I42" s="250"/>
      <c r="J42" t="s">
        <v>281</v>
      </c>
      <c r="K42" s="115" t="e">
        <f t="shared" si="17"/>
        <v>#VALUE!</v>
      </c>
      <c r="L42" s="3" t="s">
        <v>36</v>
      </c>
      <c r="M42" s="33"/>
      <c r="N42" s="250"/>
      <c r="O42" s="3" t="s">
        <v>36</v>
      </c>
      <c r="P42" s="76"/>
      <c r="Q42" s="76"/>
      <c r="R42" s="76"/>
      <c r="S42" s="180"/>
      <c r="T42" s="76"/>
      <c r="U42" s="76"/>
      <c r="V42" s="116">
        <f t="shared" si="18"/>
        <v>0</v>
      </c>
      <c r="W42" s="116">
        <f t="shared" si="19"/>
        <v>0</v>
      </c>
      <c r="X42" s="116">
        <f t="shared" si="20"/>
        <v>0</v>
      </c>
      <c r="Y42" s="116">
        <f t="shared" si="21"/>
        <v>0</v>
      </c>
      <c r="Z42" s="116">
        <f t="shared" si="22"/>
        <v>0</v>
      </c>
      <c r="AA42" s="116">
        <f t="shared" si="23"/>
        <v>0</v>
      </c>
      <c r="AB42" s="76"/>
    </row>
    <row r="43" spans="3:28" ht="12.75">
      <c r="C43" s="68" t="s">
        <v>274</v>
      </c>
      <c r="D43" s="76"/>
      <c r="E43" s="3" t="s">
        <v>43</v>
      </c>
      <c r="F43" s="3" t="s">
        <v>112</v>
      </c>
      <c r="G43" s="76" t="s">
        <v>43</v>
      </c>
      <c r="H43" s="3" t="s">
        <v>112</v>
      </c>
      <c r="I43" s="250"/>
      <c r="J43" t="s">
        <v>281</v>
      </c>
      <c r="K43" s="115" t="e">
        <f t="shared" si="17"/>
        <v>#VALUE!</v>
      </c>
      <c r="L43" s="3" t="s">
        <v>36</v>
      </c>
      <c r="M43" s="33"/>
      <c r="N43" s="250"/>
      <c r="O43" s="3" t="s">
        <v>36</v>
      </c>
      <c r="P43" s="76"/>
      <c r="Q43" s="76"/>
      <c r="R43" s="76"/>
      <c r="S43" s="180"/>
      <c r="T43" s="76"/>
      <c r="U43" s="76"/>
      <c r="V43" s="116">
        <f t="shared" si="18"/>
        <v>0</v>
      </c>
      <c r="W43" s="116">
        <f t="shared" si="19"/>
        <v>0</v>
      </c>
      <c r="X43" s="116">
        <f t="shared" si="20"/>
        <v>0</v>
      </c>
      <c r="Y43" s="116">
        <f t="shared" si="21"/>
        <v>0</v>
      </c>
      <c r="Z43" s="116">
        <f t="shared" si="22"/>
        <v>0</v>
      </c>
      <c r="AA43" s="116">
        <f t="shared" si="23"/>
        <v>0</v>
      </c>
      <c r="AB43" s="76"/>
    </row>
    <row r="44" spans="3:28" ht="12.75">
      <c r="C44" s="68" t="s">
        <v>275</v>
      </c>
      <c r="D44" s="76"/>
      <c r="E44" s="3" t="s">
        <v>43</v>
      </c>
      <c r="F44" s="3" t="s">
        <v>112</v>
      </c>
      <c r="G44" s="76" t="s">
        <v>43</v>
      </c>
      <c r="H44" s="3" t="s">
        <v>112</v>
      </c>
      <c r="I44" s="250"/>
      <c r="J44" t="s">
        <v>281</v>
      </c>
      <c r="K44" s="115" t="e">
        <f t="shared" si="17"/>
        <v>#VALUE!</v>
      </c>
      <c r="L44" s="3" t="s">
        <v>36</v>
      </c>
      <c r="M44" s="33"/>
      <c r="N44" s="250"/>
      <c r="O44" s="3" t="s">
        <v>36</v>
      </c>
      <c r="P44" s="76"/>
      <c r="Q44" s="76"/>
      <c r="R44" s="76"/>
      <c r="S44" s="180"/>
      <c r="T44" s="76"/>
      <c r="U44" s="76"/>
      <c r="V44" s="116">
        <f t="shared" si="18"/>
        <v>0</v>
      </c>
      <c r="W44" s="116">
        <f t="shared" si="19"/>
        <v>0</v>
      </c>
      <c r="X44" s="116">
        <f t="shared" si="20"/>
        <v>0</v>
      </c>
      <c r="Y44" s="116">
        <f t="shared" si="21"/>
        <v>0</v>
      </c>
      <c r="Z44" s="116">
        <f t="shared" si="22"/>
        <v>0</v>
      </c>
      <c r="AA44" s="116">
        <f t="shared" si="23"/>
        <v>0</v>
      </c>
      <c r="AB44" s="76"/>
    </row>
    <row r="45" spans="3:28" ht="12.75">
      <c r="C45" s="68" t="s">
        <v>276</v>
      </c>
      <c r="D45" s="111"/>
      <c r="E45" s="3" t="s">
        <v>43</v>
      </c>
      <c r="F45" s="3" t="s">
        <v>112</v>
      </c>
      <c r="G45" s="76" t="s">
        <v>43</v>
      </c>
      <c r="H45" s="3" t="s">
        <v>112</v>
      </c>
      <c r="I45" s="250"/>
      <c r="J45" t="s">
        <v>281</v>
      </c>
      <c r="K45" s="115" t="e">
        <f t="shared" si="17"/>
        <v>#VALUE!</v>
      </c>
      <c r="L45" s="3" t="s">
        <v>36</v>
      </c>
      <c r="M45" s="33"/>
      <c r="N45" s="250"/>
      <c r="O45" s="3" t="s">
        <v>36</v>
      </c>
      <c r="P45" s="76"/>
      <c r="Q45" s="76"/>
      <c r="R45" s="76"/>
      <c r="S45" s="180"/>
      <c r="T45" s="76"/>
      <c r="U45" s="76"/>
      <c r="V45" s="116">
        <f t="shared" si="18"/>
        <v>0</v>
      </c>
      <c r="W45" s="116">
        <f t="shared" si="19"/>
        <v>0</v>
      </c>
      <c r="X45" s="116">
        <f t="shared" si="20"/>
        <v>0</v>
      </c>
      <c r="Y45" s="116">
        <f t="shared" si="21"/>
        <v>0</v>
      </c>
      <c r="Z45" s="116">
        <f t="shared" si="22"/>
        <v>0</v>
      </c>
      <c r="AA45" s="116">
        <f t="shared" si="23"/>
        <v>0</v>
      </c>
      <c r="AB45" s="76"/>
    </row>
    <row r="46" spans="3:28" ht="12.75">
      <c r="C46" s="68" t="s">
        <v>277</v>
      </c>
      <c r="D46" s="111"/>
      <c r="E46" s="3" t="s">
        <v>43</v>
      </c>
      <c r="F46" s="3" t="s">
        <v>112</v>
      </c>
      <c r="G46" s="76" t="s">
        <v>43</v>
      </c>
      <c r="H46" s="3" t="s">
        <v>112</v>
      </c>
      <c r="I46" s="250"/>
      <c r="J46" t="s">
        <v>281</v>
      </c>
      <c r="K46" s="115" t="e">
        <f t="shared" si="17"/>
        <v>#VALUE!</v>
      </c>
      <c r="L46" s="3" t="s">
        <v>36</v>
      </c>
      <c r="M46" s="33"/>
      <c r="N46" s="250"/>
      <c r="O46" s="3" t="s">
        <v>36</v>
      </c>
      <c r="P46" s="76"/>
      <c r="Q46" s="76"/>
      <c r="R46" s="76"/>
      <c r="S46" s="180"/>
      <c r="T46" s="76"/>
      <c r="U46" s="76"/>
      <c r="V46" s="116">
        <f t="shared" si="18"/>
        <v>0</v>
      </c>
      <c r="W46" s="116">
        <f t="shared" si="19"/>
        <v>0</v>
      </c>
      <c r="X46" s="116">
        <f t="shared" si="20"/>
        <v>0</v>
      </c>
      <c r="Y46" s="116">
        <f t="shared" si="21"/>
        <v>0</v>
      </c>
      <c r="Z46" s="116">
        <f t="shared" si="22"/>
        <v>0</v>
      </c>
      <c r="AA46" s="116">
        <f t="shared" si="23"/>
        <v>0</v>
      </c>
      <c r="AB46" s="76"/>
    </row>
    <row r="47" spans="3:28" ht="12.75">
      <c r="C47" s="68" t="s">
        <v>278</v>
      </c>
      <c r="D47" s="76"/>
      <c r="E47" s="3" t="s">
        <v>43</v>
      </c>
      <c r="F47" s="3" t="s">
        <v>112</v>
      </c>
      <c r="G47" s="76" t="s">
        <v>43</v>
      </c>
      <c r="H47" s="3" t="s">
        <v>112</v>
      </c>
      <c r="I47" s="250"/>
      <c r="J47" t="s">
        <v>281</v>
      </c>
      <c r="K47" s="115" t="e">
        <f t="shared" si="17"/>
        <v>#VALUE!</v>
      </c>
      <c r="L47" s="3" t="s">
        <v>36</v>
      </c>
      <c r="M47" s="33"/>
      <c r="N47" s="250"/>
      <c r="O47" s="3" t="s">
        <v>36</v>
      </c>
      <c r="P47" s="76"/>
      <c r="Q47" s="76"/>
      <c r="R47" s="76"/>
      <c r="S47" s="180"/>
      <c r="T47" s="76"/>
      <c r="U47" s="76"/>
      <c r="V47" s="116">
        <f t="shared" si="18"/>
        <v>0</v>
      </c>
      <c r="W47" s="116">
        <f t="shared" si="19"/>
        <v>0</v>
      </c>
      <c r="X47" s="116">
        <f t="shared" si="20"/>
        <v>0</v>
      </c>
      <c r="Y47" s="116">
        <f t="shared" si="21"/>
        <v>0</v>
      </c>
      <c r="Z47" s="116">
        <f t="shared" si="22"/>
        <v>0</v>
      </c>
      <c r="AA47" s="116">
        <f t="shared" si="23"/>
        <v>0</v>
      </c>
      <c r="AB47" s="76"/>
    </row>
    <row r="48" spans="3:28" ht="25.5">
      <c r="C48" s="68" t="s">
        <v>279</v>
      </c>
      <c r="D48" s="76"/>
      <c r="E48" s="3" t="s">
        <v>43</v>
      </c>
      <c r="F48" s="3" t="s">
        <v>112</v>
      </c>
      <c r="G48" s="76" t="s">
        <v>43</v>
      </c>
      <c r="H48" s="3" t="s">
        <v>112</v>
      </c>
      <c r="I48" s="250"/>
      <c r="J48" t="s">
        <v>281</v>
      </c>
      <c r="K48" s="115" t="e">
        <f t="shared" si="17"/>
        <v>#VALUE!</v>
      </c>
      <c r="L48" s="3" t="s">
        <v>36</v>
      </c>
      <c r="M48" s="33"/>
      <c r="N48" s="250"/>
      <c r="O48" s="3" t="s">
        <v>36</v>
      </c>
      <c r="P48" s="76"/>
      <c r="Q48" s="76"/>
      <c r="R48" s="76"/>
      <c r="S48" s="180"/>
      <c r="T48" s="76"/>
      <c r="U48" s="76"/>
      <c r="V48" s="116">
        <f t="shared" si="18"/>
        <v>0</v>
      </c>
      <c r="W48" s="116">
        <f t="shared" si="19"/>
        <v>0</v>
      </c>
      <c r="X48" s="116">
        <f t="shared" si="20"/>
        <v>0</v>
      </c>
      <c r="Y48" s="116">
        <f t="shared" si="21"/>
        <v>0</v>
      </c>
      <c r="Z48" s="116">
        <f t="shared" si="22"/>
        <v>0</v>
      </c>
      <c r="AA48" s="116">
        <f t="shared" si="23"/>
        <v>0</v>
      </c>
      <c r="AB48" s="76"/>
    </row>
    <row r="49" spans="3:28" ht="25.5">
      <c r="C49" s="68" t="s">
        <v>280</v>
      </c>
      <c r="D49" s="76"/>
      <c r="E49" s="3" t="s">
        <v>43</v>
      </c>
      <c r="F49" s="3" t="s">
        <v>112</v>
      </c>
      <c r="G49" s="76" t="s">
        <v>43</v>
      </c>
      <c r="H49" s="3" t="s">
        <v>112</v>
      </c>
      <c r="I49" s="250"/>
      <c r="J49" t="s">
        <v>281</v>
      </c>
      <c r="K49" s="115" t="e">
        <f t="shared" si="17"/>
        <v>#VALUE!</v>
      </c>
      <c r="L49" s="3" t="s">
        <v>36</v>
      </c>
      <c r="M49" s="33"/>
      <c r="N49" s="250"/>
      <c r="O49" s="3" t="s">
        <v>36</v>
      </c>
      <c r="P49" s="76"/>
      <c r="Q49" s="76"/>
      <c r="R49" s="76"/>
      <c r="S49" s="180"/>
      <c r="T49" s="76"/>
      <c r="U49" s="76"/>
      <c r="V49" s="116">
        <f t="shared" si="18"/>
        <v>0</v>
      </c>
      <c r="W49" s="116">
        <f t="shared" si="19"/>
        <v>0</v>
      </c>
      <c r="X49" s="116">
        <f t="shared" si="20"/>
        <v>0</v>
      </c>
      <c r="Y49" s="116">
        <f t="shared" si="21"/>
        <v>0</v>
      </c>
      <c r="Z49" s="116">
        <f t="shared" si="22"/>
        <v>0</v>
      </c>
      <c r="AA49" s="116">
        <f t="shared" si="23"/>
        <v>0</v>
      </c>
      <c r="AB49" s="76"/>
    </row>
    <row r="50" spans="2:28" s="55" customFormat="1" ht="12.75">
      <c r="B50" s="104"/>
      <c r="C50" s="176"/>
      <c r="D50" s="111"/>
      <c r="E50" s="104"/>
      <c r="F50" s="104"/>
      <c r="G50" s="76"/>
      <c r="H50" s="104"/>
      <c r="I50" s="250"/>
      <c r="J50" s="104"/>
      <c r="K50" s="169"/>
      <c r="L50" s="104"/>
      <c r="M50" s="165"/>
      <c r="N50" s="250"/>
      <c r="O50" s="104"/>
      <c r="P50" s="168"/>
      <c r="Q50" s="168"/>
      <c r="R50" s="168"/>
      <c r="S50" s="168"/>
      <c r="T50" s="168"/>
      <c r="U50" s="171"/>
      <c r="V50" s="116"/>
      <c r="W50" s="116"/>
      <c r="X50" s="116"/>
      <c r="Y50" s="116"/>
      <c r="Z50" s="116"/>
      <c r="AA50" s="116"/>
      <c r="AB50" s="76"/>
    </row>
    <row r="51" spans="2:30" ht="28.5">
      <c r="B51" s="3" t="s">
        <v>242</v>
      </c>
      <c r="C51" s="71" t="s">
        <v>240</v>
      </c>
      <c r="D51" s="111"/>
      <c r="E51" s="3" t="s">
        <v>43</v>
      </c>
      <c r="F51" s="3" t="s">
        <v>43</v>
      </c>
      <c r="G51" s="76" t="s">
        <v>43</v>
      </c>
      <c r="H51" s="3" t="s">
        <v>43</v>
      </c>
      <c r="I51" s="250"/>
      <c r="J51" t="s">
        <v>43</v>
      </c>
      <c r="K51" s="170" t="s">
        <v>43</v>
      </c>
      <c r="L51" s="3" t="s">
        <v>36</v>
      </c>
      <c r="M51" s="33"/>
      <c r="N51" s="250"/>
      <c r="O51" s="3" t="s">
        <v>36</v>
      </c>
      <c r="P51" s="76"/>
      <c r="Q51" s="76"/>
      <c r="R51" s="76"/>
      <c r="S51" s="76"/>
      <c r="T51" s="76"/>
      <c r="U51" s="76"/>
      <c r="V51" s="114">
        <f aca="true" t="shared" si="24" ref="V51:AA51">$N51*P51</f>
        <v>0</v>
      </c>
      <c r="W51" s="114">
        <f t="shared" si="24"/>
        <v>0</v>
      </c>
      <c r="X51" s="114">
        <f t="shared" si="24"/>
        <v>0</v>
      </c>
      <c r="Y51" s="114">
        <f t="shared" si="24"/>
        <v>0</v>
      </c>
      <c r="Z51" s="114">
        <f t="shared" si="24"/>
        <v>0</v>
      </c>
      <c r="AA51" s="114">
        <f t="shared" si="24"/>
        <v>0</v>
      </c>
      <c r="AB51" s="76"/>
      <c r="AC51" s="25"/>
      <c r="AD51" s="3"/>
    </row>
    <row r="52" spans="2:30" s="55" customFormat="1" ht="14.25">
      <c r="B52" s="104"/>
      <c r="C52" s="177"/>
      <c r="D52" s="111"/>
      <c r="E52" s="104"/>
      <c r="F52" s="104"/>
      <c r="G52" s="76"/>
      <c r="H52" s="104"/>
      <c r="I52" s="250"/>
      <c r="K52" s="115"/>
      <c r="L52" s="104"/>
      <c r="M52" s="138"/>
      <c r="N52" s="250"/>
      <c r="O52" s="104"/>
      <c r="P52" s="76"/>
      <c r="Q52" s="76"/>
      <c r="R52" s="76"/>
      <c r="S52" s="76"/>
      <c r="T52" s="76"/>
      <c r="U52" s="76"/>
      <c r="V52" s="114"/>
      <c r="W52" s="114"/>
      <c r="X52" s="114"/>
      <c r="Y52" s="114"/>
      <c r="Z52" s="114"/>
      <c r="AA52" s="114"/>
      <c r="AB52" s="76"/>
      <c r="AC52" s="178"/>
      <c r="AD52" s="104"/>
    </row>
    <row r="53" spans="2:30" ht="42.75">
      <c r="B53" s="3" t="s">
        <v>243</v>
      </c>
      <c r="C53" s="72" t="s">
        <v>241</v>
      </c>
      <c r="D53" s="111"/>
      <c r="E53" s="3"/>
      <c r="F53" s="3"/>
      <c r="G53" s="76"/>
      <c r="H53" s="3"/>
      <c r="I53" s="250"/>
      <c r="K53" s="114"/>
      <c r="L53" s="3"/>
      <c r="M53" s="33"/>
      <c r="N53" s="250"/>
      <c r="O53" s="3"/>
      <c r="P53" s="76"/>
      <c r="Q53" s="76"/>
      <c r="R53" s="76"/>
      <c r="S53" s="76"/>
      <c r="T53" s="76"/>
      <c r="U53" s="76"/>
      <c r="V53" s="114">
        <f aca="true" t="shared" si="25" ref="V53:AA53">SUM(V54:V70)</f>
        <v>0</v>
      </c>
      <c r="W53" s="114">
        <f t="shared" si="25"/>
        <v>0</v>
      </c>
      <c r="X53" s="114">
        <f t="shared" si="25"/>
        <v>0</v>
      </c>
      <c r="Y53" s="114">
        <f>SUM(Y54:Y70)</f>
        <v>0</v>
      </c>
      <c r="Z53" s="114">
        <f t="shared" si="25"/>
        <v>0</v>
      </c>
      <c r="AA53" s="114">
        <f t="shared" si="25"/>
        <v>0</v>
      </c>
      <c r="AB53" s="76"/>
      <c r="AC53" s="25"/>
      <c r="AD53" s="3"/>
    </row>
    <row r="54" spans="2:28" ht="28.5">
      <c r="B54" s="3"/>
      <c r="C54" s="73" t="s">
        <v>244</v>
      </c>
      <c r="D54" s="111"/>
      <c r="E54" s="3" t="s">
        <v>43</v>
      </c>
      <c r="F54" s="3" t="s">
        <v>43</v>
      </c>
      <c r="G54" s="76" t="s">
        <v>43</v>
      </c>
      <c r="H54" s="3" t="s">
        <v>43</v>
      </c>
      <c r="I54" s="250"/>
      <c r="J54" t="s">
        <v>43</v>
      </c>
      <c r="K54" s="115" t="s">
        <v>43</v>
      </c>
      <c r="L54" s="3" t="s">
        <v>36</v>
      </c>
      <c r="M54" s="33"/>
      <c r="N54" s="250"/>
      <c r="O54" s="3" t="s">
        <v>36</v>
      </c>
      <c r="P54" s="76"/>
      <c r="Q54" s="76"/>
      <c r="R54" s="76"/>
      <c r="S54" s="180"/>
      <c r="T54" s="76"/>
      <c r="U54" s="76"/>
      <c r="V54" s="116">
        <f aca="true" t="shared" si="26" ref="V54:AA54">$N54*P54</f>
        <v>0</v>
      </c>
      <c r="W54" s="116">
        <f t="shared" si="26"/>
        <v>0</v>
      </c>
      <c r="X54" s="116">
        <f t="shared" si="26"/>
        <v>0</v>
      </c>
      <c r="Y54" s="116">
        <f t="shared" si="26"/>
        <v>0</v>
      </c>
      <c r="Z54" s="116">
        <f t="shared" si="26"/>
        <v>0</v>
      </c>
      <c r="AA54" s="116">
        <f t="shared" si="26"/>
        <v>0</v>
      </c>
      <c r="AB54" s="76"/>
    </row>
    <row r="55" spans="2:28" ht="14.25">
      <c r="B55" s="3"/>
      <c r="C55" s="73" t="s">
        <v>245</v>
      </c>
      <c r="D55" s="111"/>
      <c r="E55" s="3" t="s">
        <v>43</v>
      </c>
      <c r="F55" s="3" t="s">
        <v>43</v>
      </c>
      <c r="G55" s="76" t="s">
        <v>43</v>
      </c>
      <c r="H55" s="3" t="s">
        <v>43</v>
      </c>
      <c r="I55" s="250"/>
      <c r="J55" t="s">
        <v>43</v>
      </c>
      <c r="K55" s="115" t="s">
        <v>43</v>
      </c>
      <c r="L55" s="3" t="s">
        <v>36</v>
      </c>
      <c r="M55" s="33"/>
      <c r="N55" s="250"/>
      <c r="O55" s="3" t="s">
        <v>36</v>
      </c>
      <c r="P55" s="76"/>
      <c r="Q55" s="76"/>
      <c r="R55" s="76"/>
      <c r="S55" s="180"/>
      <c r="T55" s="76"/>
      <c r="U55" s="76"/>
      <c r="V55" s="116">
        <f aca="true" t="shared" si="27" ref="V55:V69">$N55*P55</f>
        <v>0</v>
      </c>
      <c r="W55" s="116">
        <f aca="true" t="shared" si="28" ref="W55:W69">$N55*Q55</f>
        <v>0</v>
      </c>
      <c r="X55" s="116">
        <f aca="true" t="shared" si="29" ref="X55:Y69">$N55*R55</f>
        <v>0</v>
      </c>
      <c r="Y55" s="116">
        <f t="shared" si="29"/>
        <v>0</v>
      </c>
      <c r="Z55" s="116">
        <f aca="true" t="shared" si="30" ref="Z55:Z69">$N55*T55</f>
        <v>0</v>
      </c>
      <c r="AA55" s="116">
        <f aca="true" t="shared" si="31" ref="AA55:AA69">$N55*U55</f>
        <v>0</v>
      </c>
      <c r="AB55" s="76"/>
    </row>
    <row r="56" spans="2:28" ht="14.25">
      <c r="B56" s="3"/>
      <c r="C56" s="73" t="s">
        <v>246</v>
      </c>
      <c r="D56" s="111"/>
      <c r="E56" s="3" t="s">
        <v>43</v>
      </c>
      <c r="F56" s="3" t="s">
        <v>43</v>
      </c>
      <c r="G56" s="76" t="s">
        <v>43</v>
      </c>
      <c r="H56" s="3" t="s">
        <v>43</v>
      </c>
      <c r="I56" s="250"/>
      <c r="J56" t="s">
        <v>43</v>
      </c>
      <c r="K56" s="115" t="s">
        <v>43</v>
      </c>
      <c r="L56" s="3" t="s">
        <v>36</v>
      </c>
      <c r="M56" s="33"/>
      <c r="N56" s="250"/>
      <c r="O56" s="3" t="s">
        <v>36</v>
      </c>
      <c r="P56" s="76"/>
      <c r="Q56" s="76"/>
      <c r="R56" s="76"/>
      <c r="S56" s="180"/>
      <c r="T56" s="76"/>
      <c r="U56" s="76"/>
      <c r="V56" s="116">
        <f t="shared" si="27"/>
        <v>0</v>
      </c>
      <c r="W56" s="116">
        <f t="shared" si="28"/>
        <v>0</v>
      </c>
      <c r="X56" s="116">
        <f t="shared" si="29"/>
        <v>0</v>
      </c>
      <c r="Y56" s="116">
        <f t="shared" si="29"/>
        <v>0</v>
      </c>
      <c r="Z56" s="116">
        <f t="shared" si="30"/>
        <v>0</v>
      </c>
      <c r="AA56" s="116">
        <f t="shared" si="31"/>
        <v>0</v>
      </c>
      <c r="AB56" s="76"/>
    </row>
    <row r="57" spans="2:28" ht="14.25">
      <c r="B57" s="3"/>
      <c r="C57" s="73" t="s">
        <v>247</v>
      </c>
      <c r="D57" s="111"/>
      <c r="E57" s="3" t="s">
        <v>43</v>
      </c>
      <c r="F57" s="3" t="s">
        <v>43</v>
      </c>
      <c r="G57" s="76" t="s">
        <v>43</v>
      </c>
      <c r="H57" s="3" t="s">
        <v>43</v>
      </c>
      <c r="I57" s="250"/>
      <c r="J57" t="s">
        <v>43</v>
      </c>
      <c r="K57" s="115" t="s">
        <v>43</v>
      </c>
      <c r="L57" s="3" t="s">
        <v>36</v>
      </c>
      <c r="M57" s="33"/>
      <c r="N57" s="250"/>
      <c r="O57" s="3" t="s">
        <v>36</v>
      </c>
      <c r="P57" s="76"/>
      <c r="Q57" s="76"/>
      <c r="R57" s="76"/>
      <c r="S57" s="180"/>
      <c r="T57" s="76"/>
      <c r="U57" s="76"/>
      <c r="V57" s="116">
        <f t="shared" si="27"/>
        <v>0</v>
      </c>
      <c r="W57" s="116">
        <f t="shared" si="28"/>
        <v>0</v>
      </c>
      <c r="X57" s="116">
        <f t="shared" si="29"/>
        <v>0</v>
      </c>
      <c r="Y57" s="116">
        <f t="shared" si="29"/>
        <v>0</v>
      </c>
      <c r="Z57" s="116">
        <f t="shared" si="30"/>
        <v>0</v>
      </c>
      <c r="AA57" s="116">
        <f t="shared" si="31"/>
        <v>0</v>
      </c>
      <c r="AB57" s="76"/>
    </row>
    <row r="58" spans="2:28" ht="14.25">
      <c r="B58" s="3"/>
      <c r="C58" s="73" t="s">
        <v>248</v>
      </c>
      <c r="D58" s="111"/>
      <c r="E58" s="3" t="s">
        <v>43</v>
      </c>
      <c r="F58" s="3" t="s">
        <v>43</v>
      </c>
      <c r="G58" s="76" t="s">
        <v>43</v>
      </c>
      <c r="H58" s="3" t="s">
        <v>43</v>
      </c>
      <c r="I58" s="250"/>
      <c r="J58" t="s">
        <v>43</v>
      </c>
      <c r="K58" s="115" t="s">
        <v>43</v>
      </c>
      <c r="L58" s="3" t="s">
        <v>36</v>
      </c>
      <c r="M58" s="33"/>
      <c r="N58" s="250"/>
      <c r="O58" s="3" t="s">
        <v>36</v>
      </c>
      <c r="P58" s="76"/>
      <c r="Q58" s="76"/>
      <c r="R58" s="76"/>
      <c r="S58" s="180"/>
      <c r="T58" s="76"/>
      <c r="U58" s="76"/>
      <c r="V58" s="116">
        <f t="shared" si="27"/>
        <v>0</v>
      </c>
      <c r="W58" s="116">
        <f t="shared" si="28"/>
        <v>0</v>
      </c>
      <c r="X58" s="116">
        <f t="shared" si="29"/>
        <v>0</v>
      </c>
      <c r="Y58" s="116">
        <f t="shared" si="29"/>
        <v>0</v>
      </c>
      <c r="Z58" s="116">
        <f t="shared" si="30"/>
        <v>0</v>
      </c>
      <c r="AA58" s="116">
        <f t="shared" si="31"/>
        <v>0</v>
      </c>
      <c r="AB58" s="76"/>
    </row>
    <row r="59" spans="2:28" ht="28.5">
      <c r="B59" s="3"/>
      <c r="C59" s="73" t="s">
        <v>249</v>
      </c>
      <c r="D59" s="111"/>
      <c r="E59" s="3" t="s">
        <v>43</v>
      </c>
      <c r="F59" s="3" t="s">
        <v>43</v>
      </c>
      <c r="G59" s="76" t="s">
        <v>43</v>
      </c>
      <c r="H59" s="3" t="s">
        <v>43</v>
      </c>
      <c r="I59" s="250"/>
      <c r="J59" t="s">
        <v>43</v>
      </c>
      <c r="K59" s="115" t="s">
        <v>43</v>
      </c>
      <c r="L59" s="3" t="s">
        <v>36</v>
      </c>
      <c r="M59" s="33"/>
      <c r="N59" s="250"/>
      <c r="O59" s="3" t="s">
        <v>36</v>
      </c>
      <c r="P59" s="76"/>
      <c r="Q59" s="76"/>
      <c r="R59" s="76"/>
      <c r="S59" s="180"/>
      <c r="T59" s="76"/>
      <c r="U59" s="76"/>
      <c r="V59" s="116">
        <f t="shared" si="27"/>
        <v>0</v>
      </c>
      <c r="W59" s="116">
        <f t="shared" si="28"/>
        <v>0</v>
      </c>
      <c r="X59" s="116">
        <f t="shared" si="29"/>
        <v>0</v>
      </c>
      <c r="Y59" s="116">
        <f t="shared" si="29"/>
        <v>0</v>
      </c>
      <c r="Z59" s="116">
        <f t="shared" si="30"/>
        <v>0</v>
      </c>
      <c r="AA59" s="116">
        <f t="shared" si="31"/>
        <v>0</v>
      </c>
      <c r="AB59" s="76"/>
    </row>
    <row r="60" spans="2:28" ht="28.5">
      <c r="B60" s="3"/>
      <c r="C60" s="73" t="s">
        <v>250</v>
      </c>
      <c r="D60" s="111"/>
      <c r="E60" s="3" t="s">
        <v>43</v>
      </c>
      <c r="F60" s="3" t="s">
        <v>43</v>
      </c>
      <c r="G60" s="76" t="s">
        <v>43</v>
      </c>
      <c r="H60" s="3" t="s">
        <v>43</v>
      </c>
      <c r="I60" s="250"/>
      <c r="J60" t="s">
        <v>43</v>
      </c>
      <c r="K60" s="115" t="s">
        <v>43</v>
      </c>
      <c r="L60" s="3" t="s">
        <v>36</v>
      </c>
      <c r="M60" s="33"/>
      <c r="N60" s="250"/>
      <c r="O60" s="3" t="s">
        <v>36</v>
      </c>
      <c r="P60" s="76"/>
      <c r="Q60" s="76"/>
      <c r="R60" s="76"/>
      <c r="S60" s="180"/>
      <c r="T60" s="76"/>
      <c r="U60" s="76"/>
      <c r="V60" s="116">
        <f t="shared" si="27"/>
        <v>0</v>
      </c>
      <c r="W60" s="116">
        <f t="shared" si="28"/>
        <v>0</v>
      </c>
      <c r="X60" s="116">
        <f t="shared" si="29"/>
        <v>0</v>
      </c>
      <c r="Y60" s="116">
        <f t="shared" si="29"/>
        <v>0</v>
      </c>
      <c r="Z60" s="116">
        <f t="shared" si="30"/>
        <v>0</v>
      </c>
      <c r="AA60" s="116">
        <f t="shared" si="31"/>
        <v>0</v>
      </c>
      <c r="AB60" s="76"/>
    </row>
    <row r="61" spans="2:28" ht="57">
      <c r="B61" s="3"/>
      <c r="C61" s="73" t="s">
        <v>251</v>
      </c>
      <c r="D61" s="111"/>
      <c r="E61" s="3" t="s">
        <v>43</v>
      </c>
      <c r="F61" s="3" t="s">
        <v>43</v>
      </c>
      <c r="G61" s="76" t="s">
        <v>43</v>
      </c>
      <c r="H61" s="3" t="s">
        <v>43</v>
      </c>
      <c r="I61" s="250"/>
      <c r="J61" t="s">
        <v>43</v>
      </c>
      <c r="K61" s="115" t="s">
        <v>43</v>
      </c>
      <c r="L61" s="3" t="s">
        <v>36</v>
      </c>
      <c r="M61" s="33"/>
      <c r="N61" s="250"/>
      <c r="O61" s="3" t="s">
        <v>36</v>
      </c>
      <c r="P61" s="76"/>
      <c r="Q61" s="76"/>
      <c r="R61" s="76"/>
      <c r="S61" s="180"/>
      <c r="T61" s="76"/>
      <c r="U61" s="76"/>
      <c r="V61" s="116">
        <f t="shared" si="27"/>
        <v>0</v>
      </c>
      <c r="W61" s="116">
        <f t="shared" si="28"/>
        <v>0</v>
      </c>
      <c r="X61" s="116">
        <f t="shared" si="29"/>
        <v>0</v>
      </c>
      <c r="Y61" s="116">
        <f t="shared" si="29"/>
        <v>0</v>
      </c>
      <c r="Z61" s="116">
        <f t="shared" si="30"/>
        <v>0</v>
      </c>
      <c r="AA61" s="116">
        <f t="shared" si="31"/>
        <v>0</v>
      </c>
      <c r="AB61" s="76"/>
    </row>
    <row r="62" spans="2:28" ht="14.25">
      <c r="B62" s="3"/>
      <c r="C62" s="73" t="s">
        <v>252</v>
      </c>
      <c r="D62" s="111"/>
      <c r="E62" s="3" t="s">
        <v>43</v>
      </c>
      <c r="F62" s="3" t="s">
        <v>43</v>
      </c>
      <c r="G62" s="76" t="s">
        <v>43</v>
      </c>
      <c r="H62" s="3" t="s">
        <v>43</v>
      </c>
      <c r="I62" s="250"/>
      <c r="J62" t="s">
        <v>43</v>
      </c>
      <c r="K62" s="115" t="s">
        <v>43</v>
      </c>
      <c r="L62" s="3" t="s">
        <v>36</v>
      </c>
      <c r="M62" s="33"/>
      <c r="N62" s="250"/>
      <c r="O62" s="3" t="s">
        <v>36</v>
      </c>
      <c r="P62" s="76"/>
      <c r="Q62" s="76"/>
      <c r="R62" s="76"/>
      <c r="S62" s="180"/>
      <c r="T62" s="76"/>
      <c r="U62" s="76"/>
      <c r="V62" s="116">
        <f t="shared" si="27"/>
        <v>0</v>
      </c>
      <c r="W62" s="116">
        <f t="shared" si="28"/>
        <v>0</v>
      </c>
      <c r="X62" s="116">
        <f t="shared" si="29"/>
        <v>0</v>
      </c>
      <c r="Y62" s="116">
        <f t="shared" si="29"/>
        <v>0</v>
      </c>
      <c r="Z62" s="116">
        <f t="shared" si="30"/>
        <v>0</v>
      </c>
      <c r="AA62" s="116">
        <f t="shared" si="31"/>
        <v>0</v>
      </c>
      <c r="AB62" s="76"/>
    </row>
    <row r="63" spans="2:28" ht="14.25">
      <c r="B63" s="3"/>
      <c r="C63" s="73" t="s">
        <v>253</v>
      </c>
      <c r="D63" s="111"/>
      <c r="E63" s="3" t="s">
        <v>43</v>
      </c>
      <c r="F63" s="3" t="s">
        <v>43</v>
      </c>
      <c r="G63" s="76" t="s">
        <v>43</v>
      </c>
      <c r="H63" s="3" t="s">
        <v>43</v>
      </c>
      <c r="I63" s="250"/>
      <c r="J63" t="s">
        <v>43</v>
      </c>
      <c r="K63" s="115" t="s">
        <v>43</v>
      </c>
      <c r="L63" s="3" t="s">
        <v>36</v>
      </c>
      <c r="M63" s="33"/>
      <c r="N63" s="250"/>
      <c r="O63" s="3" t="s">
        <v>36</v>
      </c>
      <c r="P63" s="76"/>
      <c r="Q63" s="76"/>
      <c r="R63" s="76"/>
      <c r="S63" s="180"/>
      <c r="T63" s="76"/>
      <c r="U63" s="76"/>
      <c r="V63" s="116">
        <f t="shared" si="27"/>
        <v>0</v>
      </c>
      <c r="W63" s="116">
        <f t="shared" si="28"/>
        <v>0</v>
      </c>
      <c r="X63" s="116">
        <f t="shared" si="29"/>
        <v>0</v>
      </c>
      <c r="Y63" s="116">
        <f t="shared" si="29"/>
        <v>0</v>
      </c>
      <c r="Z63" s="116">
        <f t="shared" si="30"/>
        <v>0</v>
      </c>
      <c r="AA63" s="116">
        <f t="shared" si="31"/>
        <v>0</v>
      </c>
      <c r="AB63" s="76"/>
    </row>
    <row r="64" spans="2:28" ht="14.25">
      <c r="B64" s="3"/>
      <c r="C64" s="73" t="s">
        <v>254</v>
      </c>
      <c r="D64" s="111"/>
      <c r="E64" s="3" t="s">
        <v>43</v>
      </c>
      <c r="F64" s="3" t="s">
        <v>43</v>
      </c>
      <c r="G64" s="76" t="s">
        <v>43</v>
      </c>
      <c r="H64" s="3" t="s">
        <v>43</v>
      </c>
      <c r="I64" s="250"/>
      <c r="J64" t="s">
        <v>43</v>
      </c>
      <c r="K64" s="115" t="s">
        <v>43</v>
      </c>
      <c r="L64" s="3" t="s">
        <v>36</v>
      </c>
      <c r="M64" s="33"/>
      <c r="N64" s="250"/>
      <c r="O64" s="3" t="s">
        <v>36</v>
      </c>
      <c r="P64" s="76"/>
      <c r="Q64" s="76"/>
      <c r="R64" s="76"/>
      <c r="S64" s="180"/>
      <c r="T64" s="76"/>
      <c r="U64" s="76"/>
      <c r="V64" s="116">
        <f t="shared" si="27"/>
        <v>0</v>
      </c>
      <c r="W64" s="116">
        <f t="shared" si="28"/>
        <v>0</v>
      </c>
      <c r="X64" s="116">
        <f t="shared" si="29"/>
        <v>0</v>
      </c>
      <c r="Y64" s="116">
        <f t="shared" si="29"/>
        <v>0</v>
      </c>
      <c r="Z64" s="116">
        <f t="shared" si="30"/>
        <v>0</v>
      </c>
      <c r="AA64" s="116">
        <f t="shared" si="31"/>
        <v>0</v>
      </c>
      <c r="AB64" s="76"/>
    </row>
    <row r="65" spans="2:28" ht="28.5">
      <c r="B65" s="3"/>
      <c r="C65" s="73" t="s">
        <v>255</v>
      </c>
      <c r="D65" s="111"/>
      <c r="E65" s="3" t="s">
        <v>43</v>
      </c>
      <c r="F65" s="3" t="s">
        <v>43</v>
      </c>
      <c r="G65" s="76" t="s">
        <v>43</v>
      </c>
      <c r="H65" s="3" t="s">
        <v>43</v>
      </c>
      <c r="I65" s="250"/>
      <c r="J65" t="s">
        <v>43</v>
      </c>
      <c r="K65" s="115" t="s">
        <v>43</v>
      </c>
      <c r="L65" s="3" t="s">
        <v>36</v>
      </c>
      <c r="M65" s="33"/>
      <c r="N65" s="250"/>
      <c r="O65" s="3" t="s">
        <v>36</v>
      </c>
      <c r="P65" s="76"/>
      <c r="Q65" s="76"/>
      <c r="R65" s="76"/>
      <c r="S65" s="180"/>
      <c r="T65" s="76"/>
      <c r="U65" s="76"/>
      <c r="V65" s="116">
        <f t="shared" si="27"/>
        <v>0</v>
      </c>
      <c r="W65" s="116">
        <f t="shared" si="28"/>
        <v>0</v>
      </c>
      <c r="X65" s="116">
        <f t="shared" si="29"/>
        <v>0</v>
      </c>
      <c r="Y65" s="116">
        <f t="shared" si="29"/>
        <v>0</v>
      </c>
      <c r="Z65" s="116">
        <f t="shared" si="30"/>
        <v>0</v>
      </c>
      <c r="AA65" s="116">
        <f t="shared" si="31"/>
        <v>0</v>
      </c>
      <c r="AB65" s="76"/>
    </row>
    <row r="66" spans="2:28" ht="14.25">
      <c r="B66" s="3"/>
      <c r="C66" s="73" t="s">
        <v>256</v>
      </c>
      <c r="D66" s="111"/>
      <c r="E66" s="3" t="s">
        <v>43</v>
      </c>
      <c r="F66" s="3" t="s">
        <v>43</v>
      </c>
      <c r="G66" s="76" t="s">
        <v>43</v>
      </c>
      <c r="H66" s="3" t="s">
        <v>43</v>
      </c>
      <c r="I66" s="250"/>
      <c r="J66" t="s">
        <v>43</v>
      </c>
      <c r="K66" s="115" t="s">
        <v>43</v>
      </c>
      <c r="L66" s="3" t="s">
        <v>36</v>
      </c>
      <c r="M66" s="33"/>
      <c r="N66" s="250"/>
      <c r="O66" s="3" t="s">
        <v>36</v>
      </c>
      <c r="P66" s="76"/>
      <c r="Q66" s="76"/>
      <c r="R66" s="76"/>
      <c r="S66" s="180"/>
      <c r="T66" s="76"/>
      <c r="U66" s="76"/>
      <c r="V66" s="116">
        <f t="shared" si="27"/>
        <v>0</v>
      </c>
      <c r="W66" s="116">
        <f t="shared" si="28"/>
        <v>0</v>
      </c>
      <c r="X66" s="116">
        <f t="shared" si="29"/>
        <v>0</v>
      </c>
      <c r="Y66" s="116">
        <f t="shared" si="29"/>
        <v>0</v>
      </c>
      <c r="Z66" s="116">
        <f t="shared" si="30"/>
        <v>0</v>
      </c>
      <c r="AA66" s="116">
        <f t="shared" si="31"/>
        <v>0</v>
      </c>
      <c r="AB66" s="76"/>
    </row>
    <row r="67" spans="2:28" ht="28.5">
      <c r="B67" s="3"/>
      <c r="C67" s="73" t="s">
        <v>257</v>
      </c>
      <c r="D67" s="111"/>
      <c r="E67" s="3" t="s">
        <v>43</v>
      </c>
      <c r="F67" s="3" t="s">
        <v>43</v>
      </c>
      <c r="G67" s="76" t="s">
        <v>43</v>
      </c>
      <c r="H67" s="3" t="s">
        <v>43</v>
      </c>
      <c r="I67" s="250"/>
      <c r="J67" t="s">
        <v>43</v>
      </c>
      <c r="K67" s="115" t="s">
        <v>43</v>
      </c>
      <c r="L67" s="3" t="s">
        <v>36</v>
      </c>
      <c r="M67" s="33"/>
      <c r="N67" s="250"/>
      <c r="O67" s="3" t="s">
        <v>36</v>
      </c>
      <c r="P67" s="76"/>
      <c r="Q67" s="76"/>
      <c r="R67" s="76"/>
      <c r="S67" s="180"/>
      <c r="T67" s="76"/>
      <c r="U67" s="76"/>
      <c r="V67" s="116">
        <f t="shared" si="27"/>
        <v>0</v>
      </c>
      <c r="W67" s="116">
        <f t="shared" si="28"/>
        <v>0</v>
      </c>
      <c r="X67" s="116">
        <f t="shared" si="29"/>
        <v>0</v>
      </c>
      <c r="Y67" s="116">
        <f t="shared" si="29"/>
        <v>0</v>
      </c>
      <c r="Z67" s="116">
        <f t="shared" si="30"/>
        <v>0</v>
      </c>
      <c r="AA67" s="116">
        <f t="shared" si="31"/>
        <v>0</v>
      </c>
      <c r="AB67" s="76"/>
    </row>
    <row r="68" spans="2:28" ht="14.25">
      <c r="B68" s="3"/>
      <c r="C68" s="73" t="s">
        <v>258</v>
      </c>
      <c r="D68" s="111"/>
      <c r="E68" s="3" t="s">
        <v>43</v>
      </c>
      <c r="F68" s="3" t="s">
        <v>43</v>
      </c>
      <c r="G68" s="76" t="s">
        <v>43</v>
      </c>
      <c r="H68" s="3" t="s">
        <v>43</v>
      </c>
      <c r="I68" s="250"/>
      <c r="J68" t="s">
        <v>43</v>
      </c>
      <c r="K68" s="115" t="s">
        <v>43</v>
      </c>
      <c r="L68" s="3" t="s">
        <v>36</v>
      </c>
      <c r="M68" s="33"/>
      <c r="N68" s="250"/>
      <c r="O68" s="3" t="s">
        <v>36</v>
      </c>
      <c r="P68" s="76"/>
      <c r="Q68" s="76"/>
      <c r="R68" s="76"/>
      <c r="S68" s="180"/>
      <c r="T68" s="76"/>
      <c r="U68" s="76"/>
      <c r="V68" s="116">
        <f t="shared" si="27"/>
        <v>0</v>
      </c>
      <c r="W68" s="116">
        <f t="shared" si="28"/>
        <v>0</v>
      </c>
      <c r="X68" s="116">
        <f t="shared" si="29"/>
        <v>0</v>
      </c>
      <c r="Y68" s="116">
        <f t="shared" si="29"/>
        <v>0</v>
      </c>
      <c r="Z68" s="116">
        <f t="shared" si="30"/>
        <v>0</v>
      </c>
      <c r="AA68" s="116">
        <f t="shared" si="31"/>
        <v>0</v>
      </c>
      <c r="AB68" s="76"/>
    </row>
    <row r="69" spans="2:28" ht="14.25">
      <c r="B69" s="3"/>
      <c r="C69" s="73" t="s">
        <v>259</v>
      </c>
      <c r="D69" s="111"/>
      <c r="E69" s="3" t="s">
        <v>43</v>
      </c>
      <c r="F69" s="3" t="s">
        <v>43</v>
      </c>
      <c r="G69" s="76" t="s">
        <v>43</v>
      </c>
      <c r="H69" s="3" t="s">
        <v>43</v>
      </c>
      <c r="I69" s="250"/>
      <c r="J69" t="s">
        <v>43</v>
      </c>
      <c r="K69" s="115" t="s">
        <v>43</v>
      </c>
      <c r="L69" s="3" t="s">
        <v>36</v>
      </c>
      <c r="M69" s="33"/>
      <c r="N69" s="250"/>
      <c r="O69" s="3" t="s">
        <v>36</v>
      </c>
      <c r="P69" s="76"/>
      <c r="Q69" s="76"/>
      <c r="R69" s="76"/>
      <c r="S69" s="180"/>
      <c r="T69" s="76"/>
      <c r="U69" s="76"/>
      <c r="V69" s="116">
        <f t="shared" si="27"/>
        <v>0</v>
      </c>
      <c r="W69" s="116">
        <f t="shared" si="28"/>
        <v>0</v>
      </c>
      <c r="X69" s="116">
        <f t="shared" si="29"/>
        <v>0</v>
      </c>
      <c r="Y69" s="116">
        <f t="shared" si="29"/>
        <v>0</v>
      </c>
      <c r="Z69" s="116">
        <f t="shared" si="30"/>
        <v>0</v>
      </c>
      <c r="AA69" s="116">
        <f t="shared" si="31"/>
        <v>0</v>
      </c>
      <c r="AB69" s="76"/>
    </row>
    <row r="70" spans="2:28" ht="12.75">
      <c r="B70" s="3"/>
      <c r="C70" s="26" t="s">
        <v>260</v>
      </c>
      <c r="D70" s="111"/>
      <c r="E70" s="3" t="s">
        <v>43</v>
      </c>
      <c r="F70" s="3" t="s">
        <v>43</v>
      </c>
      <c r="G70" s="76" t="s">
        <v>43</v>
      </c>
      <c r="H70" s="3" t="s">
        <v>43</v>
      </c>
      <c r="I70" s="250"/>
      <c r="J70" t="s">
        <v>43</v>
      </c>
      <c r="K70" s="115" t="s">
        <v>43</v>
      </c>
      <c r="L70" s="3" t="s">
        <v>36</v>
      </c>
      <c r="M70" s="33"/>
      <c r="N70" s="250"/>
      <c r="O70" s="3" t="s">
        <v>36</v>
      </c>
      <c r="P70" s="76"/>
      <c r="Q70" s="76"/>
      <c r="R70" s="76"/>
      <c r="S70" s="180"/>
      <c r="T70" s="76"/>
      <c r="U70" s="76"/>
      <c r="V70" s="116">
        <f aca="true" t="shared" si="32" ref="V70:AA70">$N70*P70</f>
        <v>0</v>
      </c>
      <c r="W70" s="116">
        <f t="shared" si="32"/>
        <v>0</v>
      </c>
      <c r="X70" s="116">
        <f t="shared" si="32"/>
        <v>0</v>
      </c>
      <c r="Y70" s="116">
        <f t="shared" si="32"/>
        <v>0</v>
      </c>
      <c r="Z70" s="116">
        <f t="shared" si="32"/>
        <v>0</v>
      </c>
      <c r="AA70" s="116">
        <f t="shared" si="32"/>
        <v>0</v>
      </c>
      <c r="AB70" s="76"/>
    </row>
    <row r="71" spans="2:28" ht="12.75">
      <c r="B71" s="3"/>
      <c r="C71" s="70"/>
      <c r="D71" s="111"/>
      <c r="E71" s="41"/>
      <c r="F71" s="3"/>
      <c r="G71" s="76"/>
      <c r="H71" s="3"/>
      <c r="I71" s="250"/>
      <c r="K71" s="115"/>
      <c r="L71" s="3"/>
      <c r="M71" s="16"/>
      <c r="N71" s="250"/>
      <c r="O71" s="17"/>
      <c r="P71" s="168"/>
      <c r="Q71" s="168"/>
      <c r="R71" s="168"/>
      <c r="S71" s="168"/>
      <c r="T71" s="168"/>
      <c r="U71" s="168"/>
      <c r="V71" s="116"/>
      <c r="W71" s="116"/>
      <c r="X71" s="116"/>
      <c r="Y71" s="116"/>
      <c r="Z71" s="116"/>
      <c r="AA71" s="116"/>
      <c r="AB71" s="76"/>
    </row>
    <row r="72" spans="2:28" s="55" customFormat="1" ht="12.75">
      <c r="B72" s="104"/>
      <c r="C72" s="179"/>
      <c r="D72" s="111"/>
      <c r="E72" s="104"/>
      <c r="F72" s="104"/>
      <c r="G72" s="76"/>
      <c r="H72" s="104"/>
      <c r="I72" s="250"/>
      <c r="K72" s="115"/>
      <c r="L72" s="104"/>
      <c r="M72" s="165"/>
      <c r="N72" s="249"/>
      <c r="O72" s="104"/>
      <c r="P72" s="131"/>
      <c r="Q72" s="131"/>
      <c r="R72" s="131"/>
      <c r="S72" s="131"/>
      <c r="T72" s="131"/>
      <c r="U72" s="131"/>
      <c r="V72" s="116"/>
      <c r="W72" s="116"/>
      <c r="X72" s="116"/>
      <c r="Y72" s="116"/>
      <c r="Z72" s="116"/>
      <c r="AA72" s="116"/>
      <c r="AB72" s="76"/>
    </row>
    <row r="73" spans="3:27" s="3" customFormat="1" ht="12.75">
      <c r="C73" s="40"/>
      <c r="D73" s="7"/>
      <c r="I73" s="251"/>
      <c r="K73" s="21"/>
      <c r="M73" s="59"/>
      <c r="N73" s="241"/>
      <c r="P73" s="60"/>
      <c r="Q73" s="60"/>
      <c r="R73" s="60"/>
      <c r="S73" s="60"/>
      <c r="T73" s="60"/>
      <c r="U73" s="60"/>
      <c r="V73" s="22"/>
      <c r="W73" s="22"/>
      <c r="X73" s="22"/>
      <c r="Y73" s="22"/>
      <c r="Z73" s="22"/>
      <c r="AA73" s="22"/>
    </row>
    <row r="74" spans="3:27" s="3" customFormat="1" ht="12.75">
      <c r="C74" s="7" t="s">
        <v>56</v>
      </c>
      <c r="D74" s="36" t="s">
        <v>228</v>
      </c>
      <c r="I74" s="251"/>
      <c r="K74" s="21"/>
      <c r="M74" s="59"/>
      <c r="N74" s="241"/>
      <c r="P74" s="60"/>
      <c r="Q74" s="60"/>
      <c r="R74" s="60"/>
      <c r="S74" s="60"/>
      <c r="T74" s="60"/>
      <c r="U74" s="60"/>
      <c r="V74" s="22"/>
      <c r="W74" s="22"/>
      <c r="X74" s="22"/>
      <c r="Y74" s="22"/>
      <c r="Z74" s="22"/>
      <c r="AA74" s="22"/>
    </row>
    <row r="75" spans="3:27" s="3" customFormat="1" ht="12.75">
      <c r="C75" s="40"/>
      <c r="D75" s="36" t="s">
        <v>229</v>
      </c>
      <c r="I75" s="251"/>
      <c r="K75" s="21"/>
      <c r="M75" s="59"/>
      <c r="N75" s="241"/>
      <c r="P75" s="60"/>
      <c r="Q75" s="60"/>
      <c r="R75" s="60"/>
      <c r="S75" s="60"/>
      <c r="T75" s="60"/>
      <c r="U75" s="60"/>
      <c r="V75" s="22"/>
      <c r="W75" s="22"/>
      <c r="X75" s="22"/>
      <c r="Y75" s="22"/>
      <c r="Z75" s="22"/>
      <c r="AA75" s="22"/>
    </row>
    <row r="76" spans="3:27" s="3" customFormat="1" ht="12.75">
      <c r="C76" s="40"/>
      <c r="D76" s="36" t="s">
        <v>363</v>
      </c>
      <c r="I76" s="251"/>
      <c r="K76" s="21"/>
      <c r="M76" s="59"/>
      <c r="N76" s="241"/>
      <c r="P76" s="60"/>
      <c r="Q76" s="60"/>
      <c r="R76" s="60"/>
      <c r="S76" s="60"/>
      <c r="T76" s="60"/>
      <c r="U76" s="60"/>
      <c r="V76" s="22"/>
      <c r="W76" s="22"/>
      <c r="X76" s="22"/>
      <c r="Y76" s="22"/>
      <c r="Z76" s="22"/>
      <c r="AA76" s="22"/>
    </row>
    <row r="77" spans="3:27" s="3" customFormat="1" ht="12.75">
      <c r="C77" s="40"/>
      <c r="D77" s="7"/>
      <c r="I77" s="251"/>
      <c r="K77" s="21"/>
      <c r="M77" s="59"/>
      <c r="N77" s="241"/>
      <c r="P77" s="60"/>
      <c r="Q77" s="60"/>
      <c r="R77" s="60"/>
      <c r="S77" s="60"/>
      <c r="T77" s="60"/>
      <c r="U77" s="60"/>
      <c r="V77" s="22"/>
      <c r="W77" s="22"/>
      <c r="X77" s="22"/>
      <c r="Y77" s="22"/>
      <c r="Z77" s="22"/>
      <c r="AA77" s="22"/>
    </row>
    <row r="78" spans="3:27" s="3" customFormat="1" ht="12.75">
      <c r="C78" s="61"/>
      <c r="D78" s="7"/>
      <c r="I78" s="251"/>
      <c r="K78" s="21"/>
      <c r="M78" s="59"/>
      <c r="N78" s="241"/>
      <c r="P78" s="60"/>
      <c r="Q78" s="60"/>
      <c r="R78" s="60"/>
      <c r="S78" s="60"/>
      <c r="T78" s="60"/>
      <c r="U78" s="60"/>
      <c r="V78" s="22"/>
      <c r="W78" s="22"/>
      <c r="X78" s="22"/>
      <c r="Y78" s="22"/>
      <c r="Z78" s="22"/>
      <c r="AA78" s="22"/>
    </row>
    <row r="79" spans="3:27" s="3" customFormat="1" ht="12.75">
      <c r="C79" s="61"/>
      <c r="E79" s="11"/>
      <c r="I79" s="251"/>
      <c r="K79" s="21"/>
      <c r="M79" s="62"/>
      <c r="N79" s="241"/>
      <c r="P79" s="60"/>
      <c r="Q79" s="60"/>
      <c r="R79" s="60"/>
      <c r="S79" s="60"/>
      <c r="T79" s="60"/>
      <c r="U79" s="60"/>
      <c r="V79" s="22"/>
      <c r="W79" s="22"/>
      <c r="X79" s="22"/>
      <c r="Y79" s="22"/>
      <c r="Z79" s="22"/>
      <c r="AA79" s="22"/>
    </row>
    <row r="80" spans="3:27" s="3" customFormat="1" ht="12.75">
      <c r="C80" s="61"/>
      <c r="E80" s="11"/>
      <c r="I80" s="251"/>
      <c r="K80" s="21"/>
      <c r="M80" s="62"/>
      <c r="N80" s="241"/>
      <c r="P80" s="60"/>
      <c r="Q80" s="60"/>
      <c r="R80" s="60"/>
      <c r="S80" s="60"/>
      <c r="T80" s="60"/>
      <c r="U80" s="60"/>
      <c r="V80" s="22"/>
      <c r="W80" s="22"/>
      <c r="X80" s="22"/>
      <c r="Y80" s="22"/>
      <c r="Z80" s="22"/>
      <c r="AA80" s="22"/>
    </row>
    <row r="81" spans="3:27" s="3" customFormat="1" ht="12.75">
      <c r="C81" s="61"/>
      <c r="E81" s="11"/>
      <c r="I81" s="251"/>
      <c r="K81" s="21"/>
      <c r="M81" s="62"/>
      <c r="N81" s="241"/>
      <c r="P81" s="60"/>
      <c r="Q81" s="60"/>
      <c r="R81" s="60"/>
      <c r="S81" s="60"/>
      <c r="T81" s="60"/>
      <c r="U81" s="60"/>
      <c r="V81" s="22"/>
      <c r="W81" s="22"/>
      <c r="X81" s="22"/>
      <c r="Y81" s="22"/>
      <c r="Z81" s="22"/>
      <c r="AA81" s="22"/>
    </row>
    <row r="82" spans="3:27" s="3" customFormat="1" ht="12.75">
      <c r="C82" s="61"/>
      <c r="E82" s="11"/>
      <c r="I82" s="251"/>
      <c r="K82" s="21"/>
      <c r="M82" s="63"/>
      <c r="N82" s="241"/>
      <c r="P82" s="23"/>
      <c r="Q82" s="23"/>
      <c r="R82" s="24"/>
      <c r="S82" s="24"/>
      <c r="T82" s="23"/>
      <c r="V82" s="22"/>
      <c r="W82" s="22"/>
      <c r="X82" s="22"/>
      <c r="Y82" s="22"/>
      <c r="Z82" s="22"/>
      <c r="AA82" s="22"/>
    </row>
    <row r="83" spans="3:14" s="3" customFormat="1" ht="12.75">
      <c r="C83" s="61"/>
      <c r="I83" s="241"/>
      <c r="M83" s="63"/>
      <c r="N83" s="241"/>
    </row>
    <row r="84" spans="3:27" s="3" customFormat="1" ht="12.75">
      <c r="C84" s="61"/>
      <c r="D84" s="7"/>
      <c r="I84" s="241"/>
      <c r="M84" s="64"/>
      <c r="N84" s="241"/>
      <c r="V84" s="25"/>
      <c r="W84" s="25"/>
      <c r="X84" s="25"/>
      <c r="Y84" s="25"/>
      <c r="Z84" s="25"/>
      <c r="AA84" s="25"/>
    </row>
    <row r="85" spans="3:27" s="3" customFormat="1" ht="12.75">
      <c r="C85" s="61"/>
      <c r="D85" s="7"/>
      <c r="I85" s="251"/>
      <c r="K85" s="21"/>
      <c r="M85" s="64"/>
      <c r="N85" s="251"/>
      <c r="P85" s="60"/>
      <c r="Q85" s="60"/>
      <c r="R85" s="60"/>
      <c r="S85" s="60"/>
      <c r="T85" s="60"/>
      <c r="U85" s="60"/>
      <c r="V85" s="22"/>
      <c r="W85" s="22"/>
      <c r="X85" s="22"/>
      <c r="Y85" s="22"/>
      <c r="Z85" s="22"/>
      <c r="AA85" s="22"/>
    </row>
    <row r="86" ht="12.75">
      <c r="C86" s="42"/>
    </row>
    <row r="87" ht="12.75">
      <c r="C87" s="42"/>
    </row>
    <row r="88" ht="12.75">
      <c r="C88" s="42"/>
    </row>
    <row r="91" ht="12.75">
      <c r="H91">
        <f>35000000/500000000</f>
        <v>0.07</v>
      </c>
    </row>
    <row r="101" ht="12.75">
      <c r="G101" s="316"/>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12.xml><?xml version="1.0" encoding="utf-8"?>
<worksheet xmlns="http://schemas.openxmlformats.org/spreadsheetml/2006/main" xmlns:r="http://schemas.openxmlformats.org/officeDocument/2006/relationships">
  <dimension ref="A1:K237"/>
  <sheetViews>
    <sheetView zoomScalePageLayoutView="0" workbookViewId="0" topLeftCell="A1">
      <selection activeCell="I15" sqref="I15"/>
    </sheetView>
  </sheetViews>
  <sheetFormatPr defaultColWidth="9.140625" defaultRowHeight="12.75"/>
  <cols>
    <col min="1" max="1" width="26.00390625" style="0" customWidth="1"/>
    <col min="2" max="2" width="14.00390625" style="0" customWidth="1"/>
    <col min="3" max="3" width="9.140625" style="8" customWidth="1"/>
    <col min="4" max="5" width="11.140625" style="0" customWidth="1"/>
    <col min="6" max="6" width="10.140625" style="0" customWidth="1"/>
    <col min="7" max="7" width="9.140625" style="3" customWidth="1"/>
    <col min="8" max="8" width="14.57421875" style="0" customWidth="1"/>
    <col min="9" max="9" width="22.140625" style="544" customWidth="1"/>
    <col min="10" max="10" width="18.421875" style="0" customWidth="1"/>
  </cols>
  <sheetData>
    <row r="1" spans="1:2" ht="12.75">
      <c r="A1" s="311" t="s">
        <v>868</v>
      </c>
      <c r="B1" s="8"/>
    </row>
    <row r="2" spans="1:2" ht="12.75">
      <c r="A2" s="5" t="s">
        <v>622</v>
      </c>
      <c r="B2" s="8"/>
    </row>
    <row r="3" spans="1:2" ht="12.75">
      <c r="A3" s="5" t="s">
        <v>623</v>
      </c>
      <c r="B3" s="8"/>
    </row>
    <row r="4" spans="1:2" ht="12.75">
      <c r="A4" s="5" t="s">
        <v>624</v>
      </c>
      <c r="B4" s="8"/>
    </row>
    <row r="6" spans="4:6" ht="12.75">
      <c r="D6" s="3"/>
      <c r="E6" s="3"/>
      <c r="F6" s="3"/>
    </row>
    <row r="7" spans="1:11" ht="89.25">
      <c r="A7" s="125" t="s">
        <v>625</v>
      </c>
      <c r="B7" s="126" t="s">
        <v>745</v>
      </c>
      <c r="C7" s="126" t="s">
        <v>763</v>
      </c>
      <c r="D7" s="126" t="s">
        <v>849</v>
      </c>
      <c r="E7" s="126" t="s">
        <v>850</v>
      </c>
      <c r="F7" s="126" t="s">
        <v>851</v>
      </c>
      <c r="G7" s="66" t="s">
        <v>852</v>
      </c>
      <c r="K7" s="551"/>
    </row>
    <row r="8" spans="1:8" s="573" customFormat="1" ht="12.75">
      <c r="A8" s="562" t="s">
        <v>861</v>
      </c>
      <c r="B8" s="563">
        <v>0</v>
      </c>
      <c r="C8" s="564">
        <v>100</v>
      </c>
      <c r="D8" s="565">
        <v>0.8291907906532288</v>
      </c>
      <c r="E8" s="565"/>
      <c r="F8" s="566"/>
      <c r="G8" s="3"/>
      <c r="H8" s="574"/>
    </row>
    <row r="9" spans="1:8" s="573" customFormat="1" ht="12.75">
      <c r="A9" s="562" t="s">
        <v>626</v>
      </c>
      <c r="B9" s="567">
        <v>24485600</v>
      </c>
      <c r="C9" s="564">
        <v>15.5</v>
      </c>
      <c r="D9" s="565">
        <f aca="true" t="shared" si="0" ref="D9:D16">IF(E9&lt;$B$211,$B$211,E9)</f>
        <v>0.028528733178973198</v>
      </c>
      <c r="E9" s="565">
        <v>0.028528733178973198</v>
      </c>
      <c r="F9" s="566">
        <v>2001</v>
      </c>
      <c r="G9" s="3" t="s">
        <v>757</v>
      </c>
      <c r="H9" s="574"/>
    </row>
    <row r="10" spans="1:11" ht="12.75">
      <c r="A10" s="568" t="s">
        <v>764</v>
      </c>
      <c r="B10" s="567">
        <v>3194417</v>
      </c>
      <c r="C10" s="564">
        <v>100</v>
      </c>
      <c r="D10" s="565">
        <f t="shared" si="0"/>
        <v>0.44522741436958313</v>
      </c>
      <c r="E10" s="565">
        <v>0.44522741436958313</v>
      </c>
      <c r="F10" s="566">
        <v>1998</v>
      </c>
      <c r="K10" s="48"/>
    </row>
    <row r="11" spans="1:11" ht="15">
      <c r="A11" s="562" t="s">
        <v>627</v>
      </c>
      <c r="B11" s="545">
        <v>35978000</v>
      </c>
      <c r="C11" s="564">
        <v>99.3</v>
      </c>
      <c r="D11" s="565">
        <f t="shared" si="0"/>
        <v>0.3055395781993866</v>
      </c>
      <c r="E11" s="565">
        <v>0.3055395781993866</v>
      </c>
      <c r="F11" s="566">
        <v>2002</v>
      </c>
      <c r="G11" s="3" t="s">
        <v>757</v>
      </c>
      <c r="K11" s="48"/>
    </row>
    <row r="12" spans="1:11" ht="15">
      <c r="A12" s="562" t="s">
        <v>765</v>
      </c>
      <c r="B12" s="545">
        <v>84549</v>
      </c>
      <c r="C12" s="564">
        <v>99.8</v>
      </c>
      <c r="D12" s="565">
        <f t="shared" si="0"/>
        <v>0.6666666865348816</v>
      </c>
      <c r="E12" s="565">
        <v>0.6666666865348816</v>
      </c>
      <c r="F12" s="566">
        <v>2003</v>
      </c>
      <c r="K12" s="48"/>
    </row>
    <row r="13" spans="1:11" ht="15">
      <c r="A13" s="568" t="s">
        <v>628</v>
      </c>
      <c r="B13" s="545">
        <v>10609000</v>
      </c>
      <c r="C13" s="564">
        <v>26.2</v>
      </c>
      <c r="D13" s="565">
        <f t="shared" si="0"/>
        <v>0.01691993847489357</v>
      </c>
      <c r="E13" s="565">
        <v>0.00017471826868131757</v>
      </c>
      <c r="F13" s="566">
        <v>1997</v>
      </c>
      <c r="G13" s="3" t="s">
        <v>757</v>
      </c>
      <c r="K13" s="575"/>
    </row>
    <row r="14" spans="1:9" ht="15">
      <c r="A14" s="562" t="s">
        <v>766</v>
      </c>
      <c r="B14" s="545">
        <v>90801</v>
      </c>
      <c r="C14" s="564">
        <v>99.8</v>
      </c>
      <c r="D14" s="565">
        <f t="shared" si="0"/>
        <v>0.18840579688549042</v>
      </c>
      <c r="E14" s="565">
        <v>0.18840579688549042</v>
      </c>
      <c r="F14" s="566">
        <v>1997</v>
      </c>
      <c r="I14" s="546"/>
    </row>
    <row r="15" spans="1:9" ht="15">
      <c r="A15" s="562" t="s">
        <v>629</v>
      </c>
      <c r="B15" s="545">
        <v>40518951</v>
      </c>
      <c r="C15" s="564">
        <v>97.2</v>
      </c>
      <c r="D15" s="565">
        <f t="shared" si="0"/>
        <v>0.7993804216384888</v>
      </c>
      <c r="E15" s="565">
        <v>0.7993804216384888</v>
      </c>
      <c r="F15" s="566">
        <v>1998</v>
      </c>
      <c r="G15" s="36" t="s">
        <v>757</v>
      </c>
      <c r="I15" s="546"/>
    </row>
    <row r="16" spans="1:9" ht="15">
      <c r="A16" s="562" t="s">
        <v>630</v>
      </c>
      <c r="B16" s="545">
        <v>3256066</v>
      </c>
      <c r="C16" s="564">
        <v>99.8</v>
      </c>
      <c r="D16" s="565">
        <f t="shared" si="0"/>
        <v>0.26200586557388306</v>
      </c>
      <c r="E16" s="565">
        <v>0.26200586557388306</v>
      </c>
      <c r="F16" s="566">
        <v>2003</v>
      </c>
      <c r="I16" s="546"/>
    </row>
    <row r="17" spans="1:9" ht="15">
      <c r="A17" s="562" t="s">
        <v>767</v>
      </c>
      <c r="B17" s="545">
        <v>22299775</v>
      </c>
      <c r="C17" s="564">
        <v>99.8</v>
      </c>
      <c r="D17" s="565">
        <f>IF(E17&lt;$B$209,$B$209,E17)</f>
        <v>1.1004546880722046</v>
      </c>
      <c r="E17" s="565">
        <v>1.1004546880722046</v>
      </c>
      <c r="F17" s="566">
        <v>2001</v>
      </c>
      <c r="G17" s="36" t="s">
        <v>746</v>
      </c>
      <c r="I17" s="546"/>
    </row>
    <row r="18" spans="1:9" ht="15">
      <c r="A18" s="562" t="s">
        <v>631</v>
      </c>
      <c r="B18" s="545">
        <v>8387742</v>
      </c>
      <c r="C18" s="564">
        <v>100</v>
      </c>
      <c r="D18" s="565">
        <v>0.4974125325679779</v>
      </c>
      <c r="E18" s="565">
        <v>0.4974125325679779</v>
      </c>
      <c r="F18" s="566">
        <v>2003</v>
      </c>
      <c r="G18" s="36" t="s">
        <v>746</v>
      </c>
      <c r="I18" s="546"/>
    </row>
    <row r="19" spans="1:9" ht="15">
      <c r="A19" s="562" t="s">
        <v>768</v>
      </c>
      <c r="B19" s="545">
        <v>9054300</v>
      </c>
      <c r="C19" s="564">
        <v>100</v>
      </c>
      <c r="D19" s="565">
        <f aca="true" t="shared" si="1" ref="D19:D24">IF(E19&lt;$B$211,$B$211,E19)</f>
        <v>0.271445631980896</v>
      </c>
      <c r="E19" s="565">
        <v>0.271445631980896</v>
      </c>
      <c r="F19" s="566">
        <v>2003</v>
      </c>
      <c r="I19" s="546"/>
    </row>
    <row r="20" spans="1:9" ht="15">
      <c r="A20" s="562" t="s">
        <v>769</v>
      </c>
      <c r="B20" s="545">
        <v>353658</v>
      </c>
      <c r="C20" s="564">
        <v>100</v>
      </c>
      <c r="D20" s="565">
        <f t="shared" si="1"/>
        <v>0.07094594836235046</v>
      </c>
      <c r="E20" s="565">
        <v>0.07094594836235046</v>
      </c>
      <c r="F20" s="566">
        <v>1998</v>
      </c>
      <c r="I20" s="546"/>
    </row>
    <row r="21" spans="1:9" ht="15">
      <c r="A21" s="562" t="s">
        <v>632</v>
      </c>
      <c r="B21" s="545">
        <v>1234571</v>
      </c>
      <c r="C21" s="564">
        <v>99.4</v>
      </c>
      <c r="D21" s="565">
        <f t="shared" si="1"/>
        <v>0.46278753876686096</v>
      </c>
      <c r="E21" s="565">
        <v>0.46278753876686096</v>
      </c>
      <c r="F21" s="566">
        <v>2004</v>
      </c>
      <c r="G21" s="36" t="s">
        <v>757</v>
      </c>
      <c r="I21" s="546"/>
    </row>
    <row r="22" spans="1:9" ht="15">
      <c r="A22" s="562" t="s">
        <v>633</v>
      </c>
      <c r="B22" s="545">
        <v>148620000</v>
      </c>
      <c r="C22" s="564">
        <v>41</v>
      </c>
      <c r="D22" s="565">
        <f t="shared" si="1"/>
        <v>0.0169513039290905</v>
      </c>
      <c r="E22" s="565">
        <v>0.0169513039290905</v>
      </c>
      <c r="F22" s="566">
        <v>2004</v>
      </c>
      <c r="G22" s="36" t="s">
        <v>757</v>
      </c>
      <c r="I22" s="546"/>
    </row>
    <row r="23" spans="1:9" ht="15">
      <c r="A23" s="562" t="s">
        <v>770</v>
      </c>
      <c r="B23" s="545">
        <v>276302</v>
      </c>
      <c r="C23" s="564">
        <v>100</v>
      </c>
      <c r="D23" s="565">
        <f t="shared" si="1"/>
        <v>0.23595505952835083</v>
      </c>
      <c r="E23" s="565">
        <v>0.23595505952835083</v>
      </c>
      <c r="F23" s="566">
        <v>1999</v>
      </c>
      <c r="I23" s="546"/>
    </row>
    <row r="24" spans="1:9" ht="15">
      <c r="A24" s="562" t="s">
        <v>771</v>
      </c>
      <c r="B24" s="545">
        <v>9480686</v>
      </c>
      <c r="C24" s="564">
        <v>78.3</v>
      </c>
      <c r="D24" s="565">
        <f t="shared" si="1"/>
        <v>0.436078816652298</v>
      </c>
      <c r="E24" s="565">
        <v>0.436078816652298</v>
      </c>
      <c r="F24" s="566">
        <v>2003</v>
      </c>
      <c r="I24" s="546"/>
    </row>
    <row r="25" spans="1:9" ht="15">
      <c r="A25" s="562" t="s">
        <v>634</v>
      </c>
      <c r="B25" s="545">
        <v>10879155</v>
      </c>
      <c r="C25" s="564">
        <v>100</v>
      </c>
      <c r="D25" s="565">
        <v>0.808275043964386</v>
      </c>
      <c r="E25" s="565">
        <v>0.808275043964386</v>
      </c>
      <c r="F25" s="566">
        <v>2002</v>
      </c>
      <c r="G25" s="36" t="s">
        <v>746</v>
      </c>
      <c r="I25" s="546"/>
    </row>
    <row r="26" spans="1:9" ht="15">
      <c r="A26" s="562" t="s">
        <v>772</v>
      </c>
      <c r="B26" s="545">
        <v>312698</v>
      </c>
      <c r="C26" s="564">
        <v>85</v>
      </c>
      <c r="D26" s="565">
        <f aca="true" t="shared" si="2" ref="D26:D38">IF(E26&lt;$B$211,$B$211,E26)</f>
        <v>0.13333334028720856</v>
      </c>
      <c r="E26" s="565">
        <v>0.13333334028720856</v>
      </c>
      <c r="F26" s="566">
        <v>2000</v>
      </c>
      <c r="I26" s="546"/>
    </row>
    <row r="27" spans="1:9" ht="15">
      <c r="A27" s="562" t="s">
        <v>635</v>
      </c>
      <c r="B27" s="545">
        <v>8778648</v>
      </c>
      <c r="C27" s="564">
        <v>24.8</v>
      </c>
      <c r="D27" s="565">
        <f t="shared" si="2"/>
        <v>0.01691993847489357</v>
      </c>
      <c r="E27" s="565">
        <v>0.0017346054082736373</v>
      </c>
      <c r="F27" s="566">
        <v>2004</v>
      </c>
      <c r="G27" s="3" t="s">
        <v>757</v>
      </c>
      <c r="I27" s="546"/>
    </row>
    <row r="28" spans="1:9" ht="15">
      <c r="A28" s="562" t="s">
        <v>773</v>
      </c>
      <c r="B28" s="545">
        <v>695823</v>
      </c>
      <c r="C28" s="564">
        <v>72</v>
      </c>
      <c r="D28" s="565">
        <f t="shared" si="2"/>
        <v>0.024946236982941628</v>
      </c>
      <c r="E28" s="565">
        <v>0.024946236982941628</v>
      </c>
      <c r="F28" s="566">
        <v>2004</v>
      </c>
      <c r="I28" s="546"/>
    </row>
    <row r="29" spans="1:9" ht="15">
      <c r="A29" s="562" t="s">
        <v>636</v>
      </c>
      <c r="B29" s="545">
        <v>10426154</v>
      </c>
      <c r="C29" s="564">
        <v>77.5</v>
      </c>
      <c r="D29" s="565">
        <f t="shared" si="2"/>
        <v>0.7071099877357483</v>
      </c>
      <c r="E29" s="565">
        <v>0.7071099877357483</v>
      </c>
      <c r="F29" s="566">
        <v>2001</v>
      </c>
      <c r="G29" s="3" t="s">
        <v>757</v>
      </c>
      <c r="I29" s="546"/>
    </row>
    <row r="30" spans="1:9" ht="15">
      <c r="A30" s="562" t="s">
        <v>774</v>
      </c>
      <c r="B30" s="545">
        <v>3843126</v>
      </c>
      <c r="C30" s="564">
        <v>98.5</v>
      </c>
      <c r="D30" s="565">
        <f t="shared" si="2"/>
        <v>0.1658255159854889</v>
      </c>
      <c r="E30" s="565">
        <v>0.1658255159854889</v>
      </c>
      <c r="F30" s="566">
        <v>2003</v>
      </c>
      <c r="I30" s="546"/>
    </row>
    <row r="31" spans="1:9" ht="15">
      <c r="A31" s="562" t="s">
        <v>637</v>
      </c>
      <c r="B31" s="545">
        <v>1822859</v>
      </c>
      <c r="C31" s="564">
        <v>45.4</v>
      </c>
      <c r="D31" s="565">
        <f t="shared" si="2"/>
        <v>0.021169915795326233</v>
      </c>
      <c r="E31" s="565">
        <v>0.021169915795326233</v>
      </c>
      <c r="F31" s="566">
        <v>2004</v>
      </c>
      <c r="G31" s="3" t="s">
        <v>757</v>
      </c>
      <c r="I31" s="546"/>
    </row>
    <row r="32" spans="1:9" ht="15">
      <c r="A32" s="562" t="s">
        <v>638</v>
      </c>
      <c r="B32" s="545">
        <v>193252604</v>
      </c>
      <c r="C32" s="564">
        <v>98.3</v>
      </c>
      <c r="D32" s="565">
        <f t="shared" si="2"/>
        <v>1.1085705757141113</v>
      </c>
      <c r="E32" s="565">
        <v>1.1085705757141113</v>
      </c>
      <c r="F32" s="566">
        <v>2000</v>
      </c>
      <c r="G32" s="3" t="s">
        <v>757</v>
      </c>
      <c r="I32" s="546"/>
    </row>
    <row r="33" spans="1:9" ht="15">
      <c r="A33" s="568" t="s">
        <v>639</v>
      </c>
      <c r="B33" s="545">
        <v>406200</v>
      </c>
      <c r="C33" s="564">
        <v>99.7</v>
      </c>
      <c r="D33" s="565">
        <f t="shared" si="2"/>
        <v>0.14371258020401</v>
      </c>
      <c r="E33" s="565">
        <v>0.14371258020401</v>
      </c>
      <c r="F33" s="566">
        <v>2000</v>
      </c>
      <c r="G33" s="3" t="s">
        <v>757</v>
      </c>
      <c r="I33" s="546"/>
    </row>
    <row r="34" spans="1:9" ht="15">
      <c r="A34" s="562" t="s">
        <v>775</v>
      </c>
      <c r="B34" s="545">
        <v>7534289</v>
      </c>
      <c r="C34" s="564">
        <v>99</v>
      </c>
      <c r="D34" s="565">
        <f t="shared" si="2"/>
        <v>0.8199316263198853</v>
      </c>
      <c r="E34" s="565">
        <v>0.8199316263198853</v>
      </c>
      <c r="F34" s="566">
        <v>2003</v>
      </c>
      <c r="G34" s="36"/>
      <c r="I34" s="546"/>
    </row>
    <row r="35" spans="1:9" ht="15">
      <c r="A35" s="562" t="s">
        <v>640</v>
      </c>
      <c r="B35" s="545">
        <v>15730977</v>
      </c>
      <c r="C35" s="564">
        <v>14.6</v>
      </c>
      <c r="D35" s="565">
        <f t="shared" si="2"/>
        <v>0.01691993847489357</v>
      </c>
      <c r="E35" s="565">
        <v>0.004330620635300875</v>
      </c>
      <c r="F35" s="566">
        <v>2004</v>
      </c>
      <c r="G35" s="36" t="s">
        <v>757</v>
      </c>
      <c r="I35" s="546"/>
    </row>
    <row r="36" spans="1:9" ht="15">
      <c r="A36" s="562" t="s">
        <v>776</v>
      </c>
      <c r="B36" s="545">
        <v>14302779</v>
      </c>
      <c r="C36" s="564">
        <v>3.9</v>
      </c>
      <c r="D36" s="565">
        <f t="shared" si="2"/>
        <v>0.01691993847489357</v>
      </c>
      <c r="E36" s="565">
        <v>0.001980758272111416</v>
      </c>
      <c r="F36" s="566">
        <v>2004</v>
      </c>
      <c r="I36" s="546"/>
    </row>
    <row r="37" spans="1:9" ht="15">
      <c r="A37" s="562" t="s">
        <v>641</v>
      </c>
      <c r="B37" s="545">
        <v>19406100</v>
      </c>
      <c r="C37" s="564">
        <v>24</v>
      </c>
      <c r="D37" s="565">
        <f t="shared" si="2"/>
        <v>0.01691993847489357</v>
      </c>
      <c r="E37" s="565">
        <v>0.01589716225862503</v>
      </c>
      <c r="F37" s="566">
        <v>2000</v>
      </c>
      <c r="G37" s="3" t="s">
        <v>757</v>
      </c>
      <c r="I37" s="546"/>
    </row>
    <row r="38" spans="1:9" ht="15">
      <c r="A38" s="562" t="s">
        <v>642</v>
      </c>
      <c r="B38" s="545">
        <v>34126181</v>
      </c>
      <c r="C38" s="564">
        <v>48.7</v>
      </c>
      <c r="D38" s="565">
        <f t="shared" si="2"/>
        <v>0.01691993847489357</v>
      </c>
      <c r="E38" s="565">
        <v>0.009020618163049221</v>
      </c>
      <c r="F38" s="566">
        <v>2004</v>
      </c>
      <c r="G38" s="3" t="s">
        <v>757</v>
      </c>
      <c r="I38" s="546"/>
    </row>
    <row r="39" spans="1:9" ht="15">
      <c r="A39" s="562" t="s">
        <v>777</v>
      </c>
      <c r="B39" s="545">
        <v>517831</v>
      </c>
      <c r="C39" s="564">
        <v>97.3</v>
      </c>
      <c r="D39" s="565">
        <v>0.586808443069458</v>
      </c>
      <c r="E39" s="565">
        <v>0.586808443069458</v>
      </c>
      <c r="F39" s="566">
        <v>2003</v>
      </c>
      <c r="G39" s="36" t="s">
        <v>746</v>
      </c>
      <c r="I39" s="546"/>
    </row>
    <row r="40" spans="1:9" ht="15">
      <c r="A40" s="562" t="s">
        <v>778</v>
      </c>
      <c r="B40" s="545">
        <v>517831</v>
      </c>
      <c r="C40" s="564">
        <v>67</v>
      </c>
      <c r="D40" s="565">
        <f>IF(E40&lt;$B$211,$B$211,E40)</f>
        <v>0.023255813866853714</v>
      </c>
      <c r="E40" s="565">
        <v>0.023255813866853714</v>
      </c>
      <c r="F40" s="566">
        <v>2004</v>
      </c>
      <c r="I40" s="546"/>
    </row>
    <row r="41" spans="1:9" ht="15">
      <c r="A41" s="568" t="s">
        <v>779</v>
      </c>
      <c r="B41" s="545">
        <v>3151072</v>
      </c>
      <c r="C41" s="564">
        <v>6</v>
      </c>
      <c r="D41" s="565">
        <f>IF(E41&lt;$B$211,$B$211,E41)</f>
        <v>0.01691993847489357</v>
      </c>
      <c r="E41" s="565">
        <v>0.003323108423501253</v>
      </c>
      <c r="F41" s="566">
        <v>2004</v>
      </c>
      <c r="I41" s="546"/>
    </row>
    <row r="42" spans="1:9" ht="15">
      <c r="A42" s="568" t="s">
        <v>780</v>
      </c>
      <c r="B42" s="545">
        <v>8322124</v>
      </c>
      <c r="C42" s="564">
        <v>3.5</v>
      </c>
      <c r="D42" s="565">
        <f>IF(E42&lt;$B$211,$B$211,E42)</f>
        <v>0.01691993847489357</v>
      </c>
      <c r="E42" s="565">
        <v>0.0016941495705395937</v>
      </c>
      <c r="F42" s="566">
        <v>2004</v>
      </c>
      <c r="I42" s="546"/>
    </row>
    <row r="43" spans="1:9" ht="15">
      <c r="A43" s="562" t="s">
        <v>643</v>
      </c>
      <c r="B43" s="545">
        <v>17094275</v>
      </c>
      <c r="C43" s="564">
        <v>98.5</v>
      </c>
      <c r="D43" s="565">
        <v>0.4270530045032501</v>
      </c>
      <c r="E43" s="565">
        <v>0.4270530045032501</v>
      </c>
      <c r="F43" s="566">
        <v>2003</v>
      </c>
      <c r="G43" s="36" t="s">
        <v>758</v>
      </c>
      <c r="I43" s="546"/>
    </row>
    <row r="44" spans="1:7" ht="15">
      <c r="A44" s="562" t="s">
        <v>644</v>
      </c>
      <c r="B44" s="545">
        <v>1339724852</v>
      </c>
      <c r="C44" s="564">
        <v>99.4</v>
      </c>
      <c r="D44" s="565">
        <f aca="true" t="shared" si="3" ref="D44:D53">IF(E44&lt;$B$211,$B$211,E44)</f>
        <v>0.10561773180961609</v>
      </c>
      <c r="E44" s="565">
        <v>0.10561773180961609</v>
      </c>
      <c r="F44" s="566">
        <v>2001</v>
      </c>
      <c r="G44" s="3" t="s">
        <v>757</v>
      </c>
    </row>
    <row r="45" spans="1:6" ht="15">
      <c r="A45" s="562" t="s">
        <v>854</v>
      </c>
      <c r="B45" s="545">
        <v>23113901</v>
      </c>
      <c r="C45" s="564">
        <v>99</v>
      </c>
      <c r="D45" s="565">
        <f t="shared" si="3"/>
        <v>0.4078112989664078</v>
      </c>
      <c r="E45" s="565">
        <f>($E$44+$E$94)/2</f>
        <v>0.4078112989664078</v>
      </c>
      <c r="F45" s="572"/>
    </row>
    <row r="46" spans="1:7" ht="15">
      <c r="A46" s="562" t="s">
        <v>645</v>
      </c>
      <c r="B46" s="545">
        <v>45508205</v>
      </c>
      <c r="C46" s="564">
        <v>93.6</v>
      </c>
      <c r="D46" s="565">
        <f t="shared" si="3"/>
        <v>0.7800165414810181</v>
      </c>
      <c r="E46" s="565">
        <v>0.7800165414810181</v>
      </c>
      <c r="F46" s="566">
        <v>2002</v>
      </c>
      <c r="G46" s="36" t="s">
        <v>757</v>
      </c>
    </row>
    <row r="47" spans="1:6" ht="15">
      <c r="A47" s="562" t="s">
        <v>781</v>
      </c>
      <c r="B47" s="569">
        <v>575660</v>
      </c>
      <c r="C47" s="564">
        <v>44.8</v>
      </c>
      <c r="D47" s="565">
        <f t="shared" si="3"/>
        <v>0.03670886158943176</v>
      </c>
      <c r="E47" s="565">
        <v>0.03670886158943176</v>
      </c>
      <c r="F47" s="566">
        <v>2004</v>
      </c>
    </row>
    <row r="48" spans="1:6" ht="15">
      <c r="A48" s="562" t="s">
        <v>783</v>
      </c>
      <c r="B48" s="545">
        <v>23200</v>
      </c>
      <c r="C48" s="564">
        <v>99</v>
      </c>
      <c r="D48" s="565">
        <f t="shared" si="3"/>
        <v>0.5555555820465088</v>
      </c>
      <c r="E48" s="565">
        <v>0.5555555820465088</v>
      </c>
      <c r="F48" s="566">
        <v>2001</v>
      </c>
    </row>
    <row r="49" spans="1:7" ht="15">
      <c r="A49" s="562" t="s">
        <v>646</v>
      </c>
      <c r="B49" s="545">
        <v>4562087</v>
      </c>
      <c r="C49" s="564">
        <v>99.3</v>
      </c>
      <c r="D49" s="565">
        <f t="shared" si="3"/>
        <v>0.48485618829727173</v>
      </c>
      <c r="E49" s="565">
        <v>0.48485618829727173</v>
      </c>
      <c r="F49" s="566">
        <v>2000</v>
      </c>
      <c r="G49" s="3" t="s">
        <v>757</v>
      </c>
    </row>
    <row r="50" spans="1:7" ht="15">
      <c r="A50" s="568" t="s">
        <v>647</v>
      </c>
      <c r="B50" s="545">
        <v>20807216</v>
      </c>
      <c r="C50" s="564">
        <v>47.3</v>
      </c>
      <c r="D50" s="565">
        <f t="shared" si="3"/>
        <v>0.020062733441591263</v>
      </c>
      <c r="E50" s="565">
        <v>0.020062733441591263</v>
      </c>
      <c r="F50" s="566">
        <v>2004</v>
      </c>
      <c r="G50" s="3" t="s">
        <v>757</v>
      </c>
    </row>
    <row r="51" spans="1:11" ht="15">
      <c r="A51" s="562" t="s">
        <v>784</v>
      </c>
      <c r="B51" s="545">
        <v>4425747</v>
      </c>
      <c r="C51" s="564">
        <v>99</v>
      </c>
      <c r="D51" s="565">
        <f t="shared" si="3"/>
        <v>0.696702778339386</v>
      </c>
      <c r="E51" s="565">
        <v>0.696702778339386</v>
      </c>
      <c r="F51" s="566">
        <v>2003</v>
      </c>
      <c r="G51" s="36"/>
      <c r="J51" s="547"/>
      <c r="K51" s="546"/>
    </row>
    <row r="52" spans="1:11" ht="15">
      <c r="A52" s="562" t="s">
        <v>648</v>
      </c>
      <c r="B52" s="545">
        <v>11241894</v>
      </c>
      <c r="C52" s="564">
        <v>97</v>
      </c>
      <c r="D52" s="565">
        <f t="shared" si="3"/>
        <v>0.8731257319450378</v>
      </c>
      <c r="E52" s="565">
        <v>0.8731257319450378</v>
      </c>
      <c r="F52" s="566">
        <v>2002</v>
      </c>
      <c r="G52" s="36" t="s">
        <v>757</v>
      </c>
      <c r="J52" s="547"/>
      <c r="K52" s="548"/>
    </row>
    <row r="53" spans="1:11" ht="15">
      <c r="A53" s="562" t="s">
        <v>785</v>
      </c>
      <c r="B53" s="545">
        <v>803791</v>
      </c>
      <c r="C53" s="564">
        <v>99.5</v>
      </c>
      <c r="D53" s="565">
        <f t="shared" si="3"/>
        <v>0.8165829181671143</v>
      </c>
      <c r="E53" s="565">
        <v>0.8165829181671143</v>
      </c>
      <c r="F53" s="566">
        <v>2002</v>
      </c>
      <c r="J53" s="547"/>
      <c r="K53" s="548"/>
    </row>
    <row r="54" spans="1:11" ht="15">
      <c r="A54" s="562" t="s">
        <v>786</v>
      </c>
      <c r="B54" s="545">
        <v>10517247</v>
      </c>
      <c r="C54" s="564">
        <v>99</v>
      </c>
      <c r="D54" s="565">
        <v>0.6581672430038452</v>
      </c>
      <c r="E54" s="565">
        <v>0.6581672430038452</v>
      </c>
      <c r="F54" s="566">
        <v>2003</v>
      </c>
      <c r="G54" s="36" t="s">
        <v>746</v>
      </c>
      <c r="J54" s="547"/>
      <c r="K54" s="548"/>
    </row>
    <row r="55" spans="1:11" ht="15">
      <c r="A55" s="568" t="s">
        <v>649</v>
      </c>
      <c r="B55" s="545">
        <v>24052231</v>
      </c>
      <c r="C55" s="564">
        <v>26</v>
      </c>
      <c r="D55" s="565">
        <f>IF(E55&lt;$B$211,$B$211,E55)</f>
        <v>0.366881400346756</v>
      </c>
      <c r="E55" s="565">
        <v>0.366881400346756</v>
      </c>
      <c r="F55" s="566">
        <v>2003</v>
      </c>
      <c r="G55" s="36" t="s">
        <v>757</v>
      </c>
      <c r="J55" s="547"/>
      <c r="K55" s="546"/>
    </row>
    <row r="56" spans="1:11" ht="15">
      <c r="A56" s="568" t="s">
        <v>650</v>
      </c>
      <c r="B56" s="545">
        <v>36671512</v>
      </c>
      <c r="C56" s="564">
        <v>11.1</v>
      </c>
      <c r="D56" s="565">
        <f>IF(E56&lt;$B$211,$B$211,E56)</f>
        <v>0.01691993847489357</v>
      </c>
      <c r="E56" s="565">
        <v>0.0029218809213489294</v>
      </c>
      <c r="F56" s="566">
        <v>2004</v>
      </c>
      <c r="G56" s="36" t="s">
        <v>757</v>
      </c>
      <c r="J56" s="547"/>
      <c r="K56" s="548"/>
    </row>
    <row r="57" spans="1:11" ht="12.75">
      <c r="A57" s="562" t="s">
        <v>651</v>
      </c>
      <c r="B57" s="567">
        <v>5545039</v>
      </c>
      <c r="C57" s="564">
        <v>100</v>
      </c>
      <c r="D57" s="565">
        <v>0.8291907906532288</v>
      </c>
      <c r="E57" s="565">
        <v>0.8291907906532288</v>
      </c>
      <c r="F57" s="566">
        <v>2002</v>
      </c>
      <c r="G57" s="36" t="s">
        <v>746</v>
      </c>
      <c r="J57" s="547"/>
      <c r="K57" s="546"/>
    </row>
    <row r="58" spans="1:11" ht="12.75">
      <c r="A58" s="568" t="s">
        <v>787</v>
      </c>
      <c r="B58" s="567">
        <v>818159</v>
      </c>
      <c r="C58" s="564">
        <v>62.2</v>
      </c>
      <c r="D58" s="565">
        <f aca="true" t="shared" si="4" ref="D58:D68">IF(E58&lt;$B$211,$B$211,E58)</f>
        <v>0.01691993847489357</v>
      </c>
      <c r="E58" s="565">
        <v>0.014044944196939468</v>
      </c>
      <c r="F58" s="566">
        <v>2004</v>
      </c>
      <c r="G58" s="36"/>
      <c r="J58" s="547"/>
      <c r="K58" s="548"/>
    </row>
    <row r="59" spans="1:11" ht="12.75">
      <c r="A59" s="568" t="s">
        <v>788</v>
      </c>
      <c r="B59" s="567">
        <v>72030</v>
      </c>
      <c r="C59" s="564">
        <v>87.7</v>
      </c>
      <c r="D59" s="565">
        <f t="shared" si="4"/>
        <v>0.05263157933950424</v>
      </c>
      <c r="E59" s="565">
        <v>0.05263157933950424</v>
      </c>
      <c r="F59" s="566">
        <v>1997</v>
      </c>
      <c r="G59" s="36"/>
      <c r="J59" s="547"/>
      <c r="K59" s="546"/>
    </row>
    <row r="60" spans="1:11" ht="15">
      <c r="A60" s="562" t="s">
        <v>652</v>
      </c>
      <c r="B60" s="545">
        <v>9884371</v>
      </c>
      <c r="C60" s="564">
        <v>95.9</v>
      </c>
      <c r="D60" s="565">
        <f t="shared" si="4"/>
        <v>0.8380222916603088</v>
      </c>
      <c r="E60" s="565">
        <v>0.8380222916603088</v>
      </c>
      <c r="F60" s="566">
        <v>2000</v>
      </c>
      <c r="G60" s="36" t="s">
        <v>757</v>
      </c>
      <c r="J60" s="547"/>
      <c r="K60" s="548"/>
    </row>
    <row r="61" spans="1:11" ht="15">
      <c r="A61" s="562" t="s">
        <v>653</v>
      </c>
      <c r="B61" s="545">
        <v>15004674</v>
      </c>
      <c r="C61" s="564">
        <v>92.2</v>
      </c>
      <c r="D61" s="565">
        <f t="shared" si="4"/>
        <v>0.16602253913879395</v>
      </c>
      <c r="E61" s="565">
        <v>0.16602253913879395</v>
      </c>
      <c r="F61" s="566">
        <v>2000</v>
      </c>
      <c r="G61" s="36" t="s">
        <v>757</v>
      </c>
      <c r="J61" s="547"/>
      <c r="K61" s="548"/>
    </row>
    <row r="62" spans="1:11" ht="15">
      <c r="A62" s="562" t="s">
        <v>654</v>
      </c>
      <c r="B62" s="545">
        <v>78684622</v>
      </c>
      <c r="C62" s="564">
        <v>99.6</v>
      </c>
      <c r="D62" s="565">
        <f t="shared" si="4"/>
        <v>0.13512739539146423</v>
      </c>
      <c r="E62" s="565">
        <v>0.13512739539146423</v>
      </c>
      <c r="F62" s="566">
        <v>2004</v>
      </c>
      <c r="G62" s="36" t="s">
        <v>757</v>
      </c>
      <c r="J62" s="547"/>
      <c r="K62" s="548"/>
    </row>
    <row r="63" spans="1:11" ht="15">
      <c r="A63" s="562" t="s">
        <v>655</v>
      </c>
      <c r="B63" s="545">
        <v>6183002</v>
      </c>
      <c r="C63" s="564">
        <v>86.4</v>
      </c>
      <c r="D63" s="565">
        <f t="shared" si="4"/>
        <v>0.5401402711868286</v>
      </c>
      <c r="E63" s="565">
        <v>0.5401402711868286</v>
      </c>
      <c r="F63" s="566">
        <v>2002</v>
      </c>
      <c r="G63" s="36" t="s">
        <v>757</v>
      </c>
      <c r="J63" s="547"/>
      <c r="K63" s="546"/>
    </row>
    <row r="64" spans="1:11" ht="15">
      <c r="A64" s="568" t="s">
        <v>856</v>
      </c>
      <c r="B64" s="545">
        <v>1014999</v>
      </c>
      <c r="C64" s="564">
        <f>C72</f>
        <v>34.3</v>
      </c>
      <c r="D64" s="565">
        <f t="shared" si="4"/>
        <v>0.02958579920232296</v>
      </c>
      <c r="E64" s="565">
        <v>0.02958579920232296</v>
      </c>
      <c r="F64" s="566">
        <v>2004</v>
      </c>
      <c r="J64" s="547"/>
      <c r="K64" s="546"/>
    </row>
    <row r="65" spans="1:11" ht="15">
      <c r="A65" s="568" t="s">
        <v>656</v>
      </c>
      <c r="B65" s="545">
        <v>3164500</v>
      </c>
      <c r="C65" s="564">
        <v>32</v>
      </c>
      <c r="D65" s="565">
        <f t="shared" si="4"/>
        <v>0.01691993847489357</v>
      </c>
      <c r="E65" s="565">
        <v>0.003723528003320098</v>
      </c>
      <c r="F65" s="566">
        <v>2004</v>
      </c>
      <c r="G65" s="3" t="s">
        <v>757</v>
      </c>
      <c r="J65" s="547"/>
      <c r="K65" s="548"/>
    </row>
    <row r="66" spans="1:11" ht="15">
      <c r="A66" s="562" t="s">
        <v>789</v>
      </c>
      <c r="B66" s="545">
        <v>1340160</v>
      </c>
      <c r="C66" s="564">
        <v>99</v>
      </c>
      <c r="D66" s="565">
        <f t="shared" si="4"/>
        <v>1.277980923652649</v>
      </c>
      <c r="E66" s="565">
        <v>1.277980923652649</v>
      </c>
      <c r="F66" s="566">
        <v>2000</v>
      </c>
      <c r="G66" s="36" t="s">
        <v>746</v>
      </c>
      <c r="J66" s="547"/>
      <c r="K66" s="548"/>
    </row>
    <row r="67" spans="1:11" ht="15">
      <c r="A67" s="562" t="s">
        <v>859</v>
      </c>
      <c r="B67" s="558">
        <v>73750932</v>
      </c>
      <c r="C67" s="564">
        <v>41</v>
      </c>
      <c r="D67" s="565">
        <f t="shared" si="4"/>
        <v>0.01691993847489357</v>
      </c>
      <c r="E67" s="565">
        <f>($E$65+$E$168)/2</f>
        <v>0.002828009834047407</v>
      </c>
      <c r="F67" s="566"/>
      <c r="G67" s="36"/>
      <c r="J67" s="547"/>
      <c r="K67" s="546"/>
    </row>
    <row r="68" spans="1:11" ht="15">
      <c r="A68" s="562" t="s">
        <v>657</v>
      </c>
      <c r="B68" s="545">
        <v>857000</v>
      </c>
      <c r="C68" s="564">
        <v>87</v>
      </c>
      <c r="D68" s="565">
        <f t="shared" si="4"/>
        <v>0.039751552045345306</v>
      </c>
      <c r="E68" s="565">
        <v>0.039751552045345306</v>
      </c>
      <c r="F68" s="566">
        <v>1999</v>
      </c>
      <c r="J68" s="547"/>
      <c r="K68" s="546"/>
    </row>
    <row r="69" spans="1:7" ht="15">
      <c r="A69" s="562" t="s">
        <v>658</v>
      </c>
      <c r="B69" s="545">
        <v>5375276</v>
      </c>
      <c r="C69" s="564">
        <v>100</v>
      </c>
      <c r="D69" s="565">
        <v>1.2842024564743042</v>
      </c>
      <c r="E69" s="565">
        <v>1.2842024564743042</v>
      </c>
      <c r="F69" s="566">
        <v>2002</v>
      </c>
      <c r="G69" s="36" t="s">
        <v>746</v>
      </c>
    </row>
    <row r="70" spans="1:7" ht="15">
      <c r="A70" s="562" t="s">
        <v>659</v>
      </c>
      <c r="B70" s="545">
        <v>62967680</v>
      </c>
      <c r="C70" s="564">
        <v>100</v>
      </c>
      <c r="D70" s="565">
        <v>0.6768375635147095</v>
      </c>
      <c r="E70" s="565">
        <v>0.6768375635147095</v>
      </c>
      <c r="F70" s="566">
        <v>2004</v>
      </c>
      <c r="G70" s="36" t="s">
        <v>746</v>
      </c>
    </row>
    <row r="71" spans="1:7" ht="15">
      <c r="A71" s="568" t="s">
        <v>660</v>
      </c>
      <c r="B71" s="545">
        <v>1312500</v>
      </c>
      <c r="C71" s="564">
        <v>36.7</v>
      </c>
      <c r="D71" s="565">
        <f>IF(E71&lt;$B$211,$B$211,E71)</f>
        <v>0.04885270074009895</v>
      </c>
      <c r="E71" s="565">
        <v>0.04885270074009895</v>
      </c>
      <c r="F71" s="566">
        <v>2004</v>
      </c>
      <c r="G71" s="36" t="s">
        <v>757</v>
      </c>
    </row>
    <row r="72" spans="1:6" ht="15">
      <c r="A72" s="568" t="s">
        <v>790</v>
      </c>
      <c r="B72" s="545">
        <v>1436000</v>
      </c>
      <c r="C72" s="564">
        <v>34.3</v>
      </c>
      <c r="D72" s="565">
        <f>IF(E72&lt;$B$211,$B$211,E72)</f>
        <v>0.030154278501868248</v>
      </c>
      <c r="E72" s="565">
        <v>0.030154278501868248</v>
      </c>
      <c r="F72" s="566">
        <v>2003</v>
      </c>
    </row>
    <row r="73" spans="1:7" ht="15">
      <c r="A73" s="562" t="s">
        <v>791</v>
      </c>
      <c r="B73" s="545">
        <v>4452800</v>
      </c>
      <c r="C73" s="564">
        <v>99.9</v>
      </c>
      <c r="D73" s="565">
        <f>IF(E73&lt;$B$211,$B$211,E73)</f>
        <v>0.2805306315422058</v>
      </c>
      <c r="E73" s="565">
        <v>0.2805306315422058</v>
      </c>
      <c r="F73" s="566">
        <v>2003</v>
      </c>
      <c r="G73" s="36"/>
    </row>
    <row r="74" spans="1:7" ht="15">
      <c r="A74" s="562" t="s">
        <v>661</v>
      </c>
      <c r="B74" s="545">
        <v>81757471</v>
      </c>
      <c r="C74" s="564">
        <v>100</v>
      </c>
      <c r="D74" s="565">
        <v>0.7833672761917114</v>
      </c>
      <c r="E74" s="565">
        <v>0.7833672761917114</v>
      </c>
      <c r="F74" s="566">
        <v>2003</v>
      </c>
      <c r="G74" s="36" t="s">
        <v>746</v>
      </c>
    </row>
    <row r="75" spans="1:7" ht="15">
      <c r="A75" s="562" t="s">
        <v>662</v>
      </c>
      <c r="B75" s="545">
        <v>24223431</v>
      </c>
      <c r="C75" s="564">
        <v>60.5</v>
      </c>
      <c r="D75" s="565">
        <f>IF(E75&lt;$B$211,$B$211,E75)</f>
        <v>0.018384244292974472</v>
      </c>
      <c r="E75" s="565">
        <v>0.018384244292974472</v>
      </c>
      <c r="F75" s="566">
        <v>2004</v>
      </c>
      <c r="G75" s="36" t="s">
        <v>757</v>
      </c>
    </row>
    <row r="76" spans="1:7" ht="15">
      <c r="A76" s="562" t="s">
        <v>663</v>
      </c>
      <c r="B76" s="545">
        <v>11315510</v>
      </c>
      <c r="C76" s="564">
        <v>100</v>
      </c>
      <c r="D76" s="565">
        <v>1.1321823596954346</v>
      </c>
      <c r="E76" s="565">
        <v>1.1321823596954346</v>
      </c>
      <c r="F76" s="566">
        <v>2001</v>
      </c>
      <c r="G76" s="36" t="s">
        <v>746</v>
      </c>
    </row>
    <row r="77" spans="1:6" ht="15">
      <c r="A77" s="568" t="s">
        <v>792</v>
      </c>
      <c r="B77" s="545">
        <v>109480</v>
      </c>
      <c r="C77" s="564">
        <v>99.5</v>
      </c>
      <c r="D77" s="565">
        <f aca="true" t="shared" si="5" ref="D77:D83">IF(E77&lt;$B$211,$B$211,E77)</f>
        <v>0.08536585420370102</v>
      </c>
      <c r="E77" s="565">
        <v>0.08536585420370102</v>
      </c>
      <c r="F77" s="566">
        <v>1997</v>
      </c>
    </row>
    <row r="78" spans="1:7" ht="15">
      <c r="A78" s="562" t="s">
        <v>664</v>
      </c>
      <c r="B78" s="545">
        <v>14361666</v>
      </c>
      <c r="C78" s="564">
        <v>80.5</v>
      </c>
      <c r="D78" s="565">
        <f t="shared" si="5"/>
        <v>0.18397626280784607</v>
      </c>
      <c r="E78" s="565">
        <v>0.18397626280784607</v>
      </c>
      <c r="F78" s="566">
        <v>1999</v>
      </c>
      <c r="G78" s="3" t="s">
        <v>757</v>
      </c>
    </row>
    <row r="79" spans="1:6" ht="15">
      <c r="A79" s="562" t="s">
        <v>793</v>
      </c>
      <c r="B79" s="545">
        <v>10537234</v>
      </c>
      <c r="C79" s="564">
        <v>20.2</v>
      </c>
      <c r="D79" s="565">
        <f t="shared" si="5"/>
        <v>0.01691993847489357</v>
      </c>
      <c r="E79" s="565">
        <v>0.0069605568423867226</v>
      </c>
      <c r="F79" s="566">
        <v>2004</v>
      </c>
    </row>
    <row r="80" spans="1:6" ht="15">
      <c r="A80" s="562" t="s">
        <v>794</v>
      </c>
      <c r="B80" s="545">
        <v>1558090</v>
      </c>
      <c r="C80" s="564">
        <v>53.5</v>
      </c>
      <c r="D80" s="565">
        <f t="shared" si="5"/>
        <v>0.01691993847489357</v>
      </c>
      <c r="E80" s="565">
        <v>0.01430429145693779</v>
      </c>
      <c r="F80" s="566">
        <v>2004</v>
      </c>
    </row>
    <row r="81" spans="1:6" ht="15">
      <c r="A81" s="562" t="s">
        <v>795</v>
      </c>
      <c r="B81" s="545">
        <v>778100</v>
      </c>
      <c r="C81" s="564">
        <v>77.5</v>
      </c>
      <c r="D81" s="565">
        <f t="shared" si="5"/>
        <v>0.03952569141983986</v>
      </c>
      <c r="E81" s="565">
        <v>0.03952569141983986</v>
      </c>
      <c r="F81" s="566">
        <v>2000</v>
      </c>
    </row>
    <row r="82" spans="1:7" ht="15">
      <c r="A82" s="562" t="s">
        <v>665</v>
      </c>
      <c r="B82" s="545">
        <v>10085214</v>
      </c>
      <c r="C82" s="564">
        <v>38.5</v>
      </c>
      <c r="D82" s="565">
        <f t="shared" si="5"/>
        <v>0.01691993847489357</v>
      </c>
      <c r="E82" s="565">
        <v>0.012055918574333191</v>
      </c>
      <c r="F82" s="566">
        <v>1998</v>
      </c>
      <c r="G82" s="3" t="s">
        <v>757</v>
      </c>
    </row>
    <row r="83" spans="1:7" ht="15">
      <c r="A83" s="562" t="s">
        <v>666</v>
      </c>
      <c r="B83" s="545">
        <v>8045990</v>
      </c>
      <c r="C83" s="564">
        <v>70.3</v>
      </c>
      <c r="D83" s="565">
        <f t="shared" si="5"/>
        <v>0.21232770383358002</v>
      </c>
      <c r="E83" s="565">
        <v>0.21232770383358002</v>
      </c>
      <c r="F83" s="566">
        <v>2000</v>
      </c>
      <c r="G83" s="3" t="s">
        <v>757</v>
      </c>
    </row>
    <row r="84" spans="1:7" ht="15">
      <c r="A84" s="562" t="s">
        <v>796</v>
      </c>
      <c r="B84" s="545">
        <v>10000023</v>
      </c>
      <c r="C84" s="564">
        <v>99</v>
      </c>
      <c r="D84" s="565">
        <v>0.5430798530578613</v>
      </c>
      <c r="E84" s="565">
        <v>0.5430798530578613</v>
      </c>
      <c r="F84" s="566">
        <v>2003</v>
      </c>
      <c r="G84" s="36" t="s">
        <v>746</v>
      </c>
    </row>
    <row r="85" spans="1:7" ht="15">
      <c r="A85" s="562" t="s">
        <v>667</v>
      </c>
      <c r="B85" s="545">
        <v>318006</v>
      </c>
      <c r="C85" s="564">
        <v>100</v>
      </c>
      <c r="D85" s="565">
        <v>1.003546118736267</v>
      </c>
      <c r="E85" s="565">
        <v>1.003546118736267</v>
      </c>
      <c r="F85" s="566">
        <v>2000</v>
      </c>
      <c r="G85" s="36" t="s">
        <v>746</v>
      </c>
    </row>
    <row r="86" spans="1:7" ht="15">
      <c r="A86" s="562" t="s">
        <v>668</v>
      </c>
      <c r="B86" s="545">
        <v>1182105000</v>
      </c>
      <c r="C86" s="564">
        <v>75</v>
      </c>
      <c r="D86" s="565">
        <f>IF(E86&lt;$B$211,$B$211,E86)</f>
        <v>0.056809425354003906</v>
      </c>
      <c r="E86" s="565">
        <v>0.056809425354003906</v>
      </c>
      <c r="F86" s="566">
        <v>2004</v>
      </c>
      <c r="G86" s="36" t="s">
        <v>757</v>
      </c>
    </row>
    <row r="87" spans="1:7" ht="15">
      <c r="A87" s="562" t="s">
        <v>669</v>
      </c>
      <c r="B87" s="545">
        <v>237641326</v>
      </c>
      <c r="C87" s="564">
        <v>64.5</v>
      </c>
      <c r="D87" s="565">
        <f>IF(E87&lt;$B$211,$B$211,E87)</f>
        <v>0.031362134963274</v>
      </c>
      <c r="E87" s="565">
        <v>0.031362134963274</v>
      </c>
      <c r="F87" s="566">
        <v>2003</v>
      </c>
      <c r="G87" s="36" t="s">
        <v>757</v>
      </c>
    </row>
    <row r="88" spans="1:7" ht="15">
      <c r="A88" s="562" t="s">
        <v>670</v>
      </c>
      <c r="B88" s="545">
        <v>74339576</v>
      </c>
      <c r="C88" s="564">
        <v>98.4</v>
      </c>
      <c r="D88" s="565">
        <f>IF(E88&lt;$B$211,$B$211,E88)</f>
        <v>0.09438449889421463</v>
      </c>
      <c r="E88" s="565">
        <v>0.09438449889421463</v>
      </c>
      <c r="F88" s="566">
        <v>2004</v>
      </c>
      <c r="G88" s="36" t="s">
        <v>757</v>
      </c>
    </row>
    <row r="89" spans="1:7" ht="15">
      <c r="A89" s="568" t="s">
        <v>671</v>
      </c>
      <c r="B89" s="545">
        <v>32105000</v>
      </c>
      <c r="C89" s="564">
        <v>86</v>
      </c>
      <c r="D89" s="565">
        <f>IF(E89&lt;$B$211,$B$211,E89)</f>
        <v>0.4443455934524536</v>
      </c>
      <c r="E89" s="565">
        <v>0.4443455934524536</v>
      </c>
      <c r="F89" s="566">
        <v>2004</v>
      </c>
      <c r="G89" s="36" t="s">
        <v>757</v>
      </c>
    </row>
    <row r="90" spans="1:7" ht="15">
      <c r="A90" s="562" t="s">
        <v>672</v>
      </c>
      <c r="B90" s="545">
        <v>4470700</v>
      </c>
      <c r="C90" s="564">
        <v>100</v>
      </c>
      <c r="D90" s="565">
        <v>0.5593898296356201</v>
      </c>
      <c r="E90" s="565">
        <v>0.5593898296356201</v>
      </c>
      <c r="F90" s="566">
        <v>2004</v>
      </c>
      <c r="G90" s="36" t="s">
        <v>746</v>
      </c>
    </row>
    <row r="91" spans="1:7" ht="15">
      <c r="A91" s="562" t="s">
        <v>673</v>
      </c>
      <c r="B91" s="545">
        <v>7623561</v>
      </c>
      <c r="C91" s="564">
        <v>99.7</v>
      </c>
      <c r="D91" s="565">
        <v>1.1674180030822754</v>
      </c>
      <c r="E91" s="565">
        <v>1.1674180030822754</v>
      </c>
      <c r="F91" s="566">
        <v>2003</v>
      </c>
      <c r="G91" s="36" t="s">
        <v>758</v>
      </c>
    </row>
    <row r="92" spans="1:7" ht="15">
      <c r="A92" s="562" t="s">
        <v>674</v>
      </c>
      <c r="B92" s="545">
        <v>60483386</v>
      </c>
      <c r="C92" s="564">
        <v>100</v>
      </c>
      <c r="D92" s="565">
        <v>0.5754542350769043</v>
      </c>
      <c r="E92" s="565">
        <v>0.5754542350769043</v>
      </c>
      <c r="F92" s="566">
        <v>2004</v>
      </c>
      <c r="G92" s="36" t="s">
        <v>746</v>
      </c>
    </row>
    <row r="93" spans="1:7" ht="15">
      <c r="A93" s="562" t="s">
        <v>675</v>
      </c>
      <c r="B93" s="545">
        <v>2702314</v>
      </c>
      <c r="C93" s="564">
        <v>92</v>
      </c>
      <c r="D93" s="565">
        <f>IF(E93&lt;$B$211,$B$211,E93)</f>
        <v>0.07996982336044312</v>
      </c>
      <c r="E93" s="565">
        <v>0.07996982336044312</v>
      </c>
      <c r="F93" s="566">
        <v>2003</v>
      </c>
      <c r="G93" s="36" t="s">
        <v>757</v>
      </c>
    </row>
    <row r="94" spans="1:7" ht="15">
      <c r="A94" s="562" t="s">
        <v>797</v>
      </c>
      <c r="B94" s="545">
        <v>128070000</v>
      </c>
      <c r="C94" s="564">
        <v>100</v>
      </c>
      <c r="D94" s="565">
        <v>0.7100048661231995</v>
      </c>
      <c r="E94" s="565">
        <v>0.7100048661231995</v>
      </c>
      <c r="F94" s="566">
        <v>2002</v>
      </c>
      <c r="G94" s="36" t="s">
        <v>746</v>
      </c>
    </row>
    <row r="95" spans="1:7" ht="15">
      <c r="A95" s="562" t="s">
        <v>676</v>
      </c>
      <c r="B95" s="545">
        <v>6113000</v>
      </c>
      <c r="C95" s="564">
        <v>99.9</v>
      </c>
      <c r="D95" s="565">
        <f aca="true" t="shared" si="6" ref="D95:D107">IF(E95&lt;$B$211,$B$211,E95)</f>
        <v>1.294976830482483</v>
      </c>
      <c r="E95" s="565">
        <v>1.294976830482483</v>
      </c>
      <c r="F95" s="566">
        <v>2004</v>
      </c>
      <c r="G95" s="36" t="s">
        <v>757</v>
      </c>
    </row>
    <row r="96" spans="1:6" ht="15">
      <c r="A96" s="562" t="s">
        <v>798</v>
      </c>
      <c r="B96" s="545">
        <v>16338700</v>
      </c>
      <c r="C96" s="564">
        <v>72.7</v>
      </c>
      <c r="D96" s="565">
        <f t="shared" si="6"/>
        <v>0.33791226148605347</v>
      </c>
      <c r="E96" s="565">
        <v>0.33791226148605347</v>
      </c>
      <c r="F96" s="566">
        <v>2003</v>
      </c>
    </row>
    <row r="97" spans="1:7" ht="15">
      <c r="A97" s="562" t="s">
        <v>677</v>
      </c>
      <c r="B97" s="545">
        <v>40400000</v>
      </c>
      <c r="C97" s="564">
        <v>16.1</v>
      </c>
      <c r="D97" s="565">
        <f t="shared" si="6"/>
        <v>0.041332509368658066</v>
      </c>
      <c r="E97" s="565">
        <v>0.041332509368658066</v>
      </c>
      <c r="F97" s="566">
        <v>2004</v>
      </c>
      <c r="G97" s="3" t="s">
        <v>757</v>
      </c>
    </row>
    <row r="98" spans="1:6" ht="15">
      <c r="A98" s="568" t="s">
        <v>857</v>
      </c>
      <c r="B98" s="545">
        <v>92533</v>
      </c>
      <c r="C98" s="564">
        <f>C119</f>
        <v>95</v>
      </c>
      <c r="D98" s="565">
        <f t="shared" si="6"/>
        <v>0.04938271641731262</v>
      </c>
      <c r="E98" s="565">
        <v>0.04938271641731262</v>
      </c>
      <c r="F98" s="566">
        <v>1998</v>
      </c>
    </row>
    <row r="99" spans="1:7" ht="15">
      <c r="A99" s="562" t="s">
        <v>678</v>
      </c>
      <c r="B99" s="545">
        <v>2672926</v>
      </c>
      <c r="C99" s="564">
        <v>100</v>
      </c>
      <c r="D99" s="565">
        <f t="shared" si="6"/>
        <v>0.28601783514022827</v>
      </c>
      <c r="E99" s="565">
        <v>0.28601783514022827</v>
      </c>
      <c r="F99" s="566">
        <v>2001</v>
      </c>
      <c r="G99" s="36" t="s">
        <v>757</v>
      </c>
    </row>
    <row r="100" spans="1:6" ht="15">
      <c r="A100" s="562" t="s">
        <v>679</v>
      </c>
      <c r="B100" s="545">
        <v>5192806</v>
      </c>
      <c r="C100" s="564">
        <v>100</v>
      </c>
      <c r="D100" s="565">
        <f t="shared" si="6"/>
        <v>0.19307123124599457</v>
      </c>
      <c r="E100" s="565">
        <v>0.19307123124599457</v>
      </c>
      <c r="F100" s="566">
        <v>2003</v>
      </c>
    </row>
    <row r="101" spans="1:7" ht="15">
      <c r="A101" s="562" t="s">
        <v>680</v>
      </c>
      <c r="B101" s="545">
        <v>6256197</v>
      </c>
      <c r="C101" s="564">
        <v>55</v>
      </c>
      <c r="D101" s="565">
        <f t="shared" si="6"/>
        <v>0.040824826806783676</v>
      </c>
      <c r="E101" s="565">
        <v>0.040824826806783676</v>
      </c>
      <c r="F101" s="566">
        <v>1996</v>
      </c>
      <c r="G101" s="3" t="s">
        <v>757</v>
      </c>
    </row>
    <row r="102" spans="1:7" ht="15">
      <c r="A102" s="562" t="s">
        <v>799</v>
      </c>
      <c r="B102" s="545">
        <v>2239008</v>
      </c>
      <c r="C102" s="564">
        <v>98</v>
      </c>
      <c r="D102" s="565">
        <f t="shared" si="6"/>
        <v>0.5578673481941223</v>
      </c>
      <c r="E102" s="565">
        <v>0.5578673481941223</v>
      </c>
      <c r="F102" s="566">
        <v>2003</v>
      </c>
      <c r="G102" s="36"/>
    </row>
    <row r="103" spans="1:7" ht="15">
      <c r="A103" s="568" t="s">
        <v>681</v>
      </c>
      <c r="B103" s="545">
        <v>3755034</v>
      </c>
      <c r="C103" s="564">
        <v>99.9</v>
      </c>
      <c r="D103" s="565">
        <f t="shared" si="6"/>
        <v>1.2109131813049316</v>
      </c>
      <c r="E103" s="565">
        <v>1.2109131813049316</v>
      </c>
      <c r="F103" s="566">
        <v>2001</v>
      </c>
      <c r="G103" s="3" t="s">
        <v>757</v>
      </c>
    </row>
    <row r="104" spans="1:7" ht="15">
      <c r="A104" s="562" t="s">
        <v>682</v>
      </c>
      <c r="B104" s="545">
        <v>1891830</v>
      </c>
      <c r="C104" s="564">
        <v>16</v>
      </c>
      <c r="D104" s="565">
        <f t="shared" si="6"/>
        <v>0.01691993847489357</v>
      </c>
      <c r="E104" s="565">
        <v>0.008879023604094982</v>
      </c>
      <c r="F104" s="566">
        <v>2003</v>
      </c>
      <c r="G104" s="3" t="s">
        <v>757</v>
      </c>
    </row>
    <row r="105" spans="1:6" ht="15">
      <c r="A105" s="568" t="s">
        <v>800</v>
      </c>
      <c r="B105" s="545">
        <v>3476608</v>
      </c>
      <c r="C105" s="564">
        <v>1.9</v>
      </c>
      <c r="D105" s="565">
        <f t="shared" si="6"/>
        <v>0.01691993847489357</v>
      </c>
      <c r="E105" s="565">
        <v>0.003728133160620928</v>
      </c>
      <c r="F105" s="566">
        <v>2004</v>
      </c>
    </row>
    <row r="106" spans="1:7" ht="15">
      <c r="A106" s="568" t="s">
        <v>683</v>
      </c>
      <c r="B106" s="545">
        <v>5484426</v>
      </c>
      <c r="C106" s="564">
        <v>99.8</v>
      </c>
      <c r="D106" s="565">
        <f t="shared" si="6"/>
        <v>0.1403118073940277</v>
      </c>
      <c r="E106" s="565">
        <v>0.1403118073940277</v>
      </c>
      <c r="F106" s="566">
        <v>1997</v>
      </c>
      <c r="G106" s="3" t="s">
        <v>757</v>
      </c>
    </row>
    <row r="107" spans="1:7" ht="15">
      <c r="A107" s="562" t="s">
        <v>801</v>
      </c>
      <c r="B107" s="545">
        <v>3286820</v>
      </c>
      <c r="C107" s="564">
        <v>99</v>
      </c>
      <c r="D107" s="565">
        <f t="shared" si="6"/>
        <v>0.6887340545654297</v>
      </c>
      <c r="E107" s="565">
        <v>0.6887340545654297</v>
      </c>
      <c r="F107" s="566">
        <v>2003</v>
      </c>
      <c r="G107" s="36"/>
    </row>
    <row r="108" spans="1:7" ht="15">
      <c r="A108" s="562" t="s">
        <v>684</v>
      </c>
      <c r="B108" s="545">
        <v>506953</v>
      </c>
      <c r="C108" s="564">
        <v>100</v>
      </c>
      <c r="D108" s="565">
        <v>0.7130242586135864</v>
      </c>
      <c r="E108" s="565">
        <v>0.7130242586135864</v>
      </c>
      <c r="F108" s="566">
        <v>2003</v>
      </c>
      <c r="G108" s="36" t="s">
        <v>746</v>
      </c>
    </row>
    <row r="109" spans="1:7" ht="15">
      <c r="A109" s="562" t="s">
        <v>685</v>
      </c>
      <c r="B109" s="545">
        <v>20142015</v>
      </c>
      <c r="C109" s="564">
        <v>19</v>
      </c>
      <c r="D109" s="565">
        <f aca="true" t="shared" si="7" ref="D109:D117">IF(E109&lt;$B$211,$B$211,E109)</f>
        <v>0.022903747856616974</v>
      </c>
      <c r="E109" s="565">
        <v>0.022903747856616974</v>
      </c>
      <c r="F109" s="566">
        <v>2004</v>
      </c>
      <c r="G109" s="36" t="s">
        <v>757</v>
      </c>
    </row>
    <row r="110" spans="1:7" ht="15">
      <c r="A110" s="562" t="s">
        <v>865</v>
      </c>
      <c r="B110" s="545">
        <v>14553011</v>
      </c>
      <c r="C110" s="564">
        <v>9</v>
      </c>
      <c r="D110" s="565">
        <f t="shared" si="7"/>
        <v>0.01691993847489357</v>
      </c>
      <c r="E110" s="565">
        <f>$E$124</f>
        <v>0.008289020508527756</v>
      </c>
      <c r="F110" s="563"/>
      <c r="G110" s="36" t="s">
        <v>757</v>
      </c>
    </row>
    <row r="111" spans="1:7" ht="15">
      <c r="A111" s="562" t="s">
        <v>686</v>
      </c>
      <c r="B111" s="545">
        <v>28250458</v>
      </c>
      <c r="C111" s="564">
        <v>99.4</v>
      </c>
      <c r="D111" s="565">
        <f t="shared" si="7"/>
        <v>0.09321334213018417</v>
      </c>
      <c r="E111" s="565">
        <v>0.09321334213018417</v>
      </c>
      <c r="F111" s="566">
        <v>2000</v>
      </c>
      <c r="G111" s="36" t="s">
        <v>757</v>
      </c>
    </row>
    <row r="112" spans="1:6" ht="15">
      <c r="A112" s="562" t="s">
        <v>802</v>
      </c>
      <c r="B112" s="545">
        <v>319738</v>
      </c>
      <c r="C112" s="564">
        <v>99.8</v>
      </c>
      <c r="D112" s="565">
        <f t="shared" si="7"/>
        <v>0.04268292710185051</v>
      </c>
      <c r="E112" s="565">
        <v>0.04268292710185051</v>
      </c>
      <c r="F112" s="566">
        <v>2004</v>
      </c>
    </row>
    <row r="113" spans="1:6" ht="15">
      <c r="A113" s="568" t="s">
        <v>803</v>
      </c>
      <c r="B113" s="545">
        <v>14517176</v>
      </c>
      <c r="C113" s="564">
        <v>16.6</v>
      </c>
      <c r="D113" s="565">
        <f t="shared" si="7"/>
        <v>0.01691993847489357</v>
      </c>
      <c r="E113" s="565">
        <v>0.006264449097216129</v>
      </c>
      <c r="F113" s="566">
        <v>2004</v>
      </c>
    </row>
    <row r="114" spans="1:11" ht="15">
      <c r="A114" s="562" t="s">
        <v>687</v>
      </c>
      <c r="B114" s="545">
        <v>415995</v>
      </c>
      <c r="C114" s="564">
        <v>100</v>
      </c>
      <c r="D114" s="565">
        <f t="shared" si="7"/>
        <v>0.4238578677177429</v>
      </c>
      <c r="E114" s="565">
        <v>0.4238578677177429</v>
      </c>
      <c r="F114" s="566">
        <v>2003</v>
      </c>
      <c r="G114" s="36"/>
      <c r="J114" s="547"/>
      <c r="K114" s="548"/>
    </row>
    <row r="115" spans="1:11" ht="15">
      <c r="A115" s="562" t="s">
        <v>804</v>
      </c>
      <c r="B115" s="545">
        <v>54305</v>
      </c>
      <c r="C115" s="564">
        <v>68.5</v>
      </c>
      <c r="D115" s="565">
        <f t="shared" si="7"/>
        <v>0.0784313753247261</v>
      </c>
      <c r="E115" s="565">
        <v>0.0784313753247261</v>
      </c>
      <c r="F115" s="566">
        <v>2000</v>
      </c>
      <c r="J115" s="547"/>
      <c r="K115" s="548"/>
    </row>
    <row r="116" spans="1:11" ht="15">
      <c r="A116" s="562" t="s">
        <v>805</v>
      </c>
      <c r="B116" s="545">
        <v>3340627</v>
      </c>
      <c r="C116" s="564">
        <v>19</v>
      </c>
      <c r="D116" s="565">
        <f t="shared" si="7"/>
        <v>0.021476510912179947</v>
      </c>
      <c r="E116" s="565">
        <v>0.021476510912179947</v>
      </c>
      <c r="F116" s="566">
        <v>2004</v>
      </c>
      <c r="J116" s="547"/>
      <c r="K116" s="548"/>
    </row>
    <row r="117" spans="1:11" ht="15">
      <c r="A117" s="562" t="s">
        <v>688</v>
      </c>
      <c r="B117" s="545">
        <v>1280924</v>
      </c>
      <c r="C117" s="564">
        <v>99.4</v>
      </c>
      <c r="D117" s="565">
        <f t="shared" si="7"/>
        <v>0.18896998465061188</v>
      </c>
      <c r="E117" s="565">
        <v>0.18896998465061188</v>
      </c>
      <c r="F117" s="566">
        <v>2004</v>
      </c>
      <c r="G117" s="3" t="s">
        <v>757</v>
      </c>
      <c r="J117" s="547"/>
      <c r="K117" s="546"/>
    </row>
    <row r="118" spans="1:11" ht="15">
      <c r="A118" s="562" t="s">
        <v>806</v>
      </c>
      <c r="B118" s="545">
        <v>112336538</v>
      </c>
      <c r="C118" s="564">
        <v>97</v>
      </c>
      <c r="D118" s="565">
        <v>0.7912526726722717</v>
      </c>
      <c r="E118" s="565">
        <v>0.7912526726722717</v>
      </c>
      <c r="F118" s="566">
        <v>2000</v>
      </c>
      <c r="G118" s="36" t="s">
        <v>746</v>
      </c>
      <c r="J118" s="547"/>
      <c r="K118" s="548"/>
    </row>
    <row r="119" spans="1:11" ht="15">
      <c r="A119" s="562" t="s">
        <v>807</v>
      </c>
      <c r="B119" s="545">
        <v>107839</v>
      </c>
      <c r="C119" s="564">
        <v>95</v>
      </c>
      <c r="D119" s="565">
        <f aca="true" t="shared" si="8" ref="D119:D128">IF(E119&lt;$B$211,$B$211,E119)</f>
        <v>0.13084112107753754</v>
      </c>
      <c r="E119" s="565">
        <v>0.13084112107753754</v>
      </c>
      <c r="F119" s="566">
        <v>2000</v>
      </c>
      <c r="J119" s="547"/>
      <c r="K119" s="546"/>
    </row>
    <row r="120" spans="1:11" ht="15">
      <c r="A120" s="568" t="s">
        <v>689</v>
      </c>
      <c r="B120" s="545">
        <v>31109</v>
      </c>
      <c r="C120" s="564">
        <v>100</v>
      </c>
      <c r="D120" s="565">
        <f t="shared" si="8"/>
        <v>1.0625</v>
      </c>
      <c r="E120" s="565">
        <v>1.0625</v>
      </c>
      <c r="F120" s="566">
        <v>1995</v>
      </c>
      <c r="G120" s="36"/>
      <c r="J120" s="547"/>
      <c r="K120" s="546"/>
    </row>
    <row r="121" spans="1:11" ht="15">
      <c r="A121" s="562" t="s">
        <v>808</v>
      </c>
      <c r="B121" s="545">
        <v>2758269</v>
      </c>
      <c r="C121" s="564">
        <v>87.5</v>
      </c>
      <c r="D121" s="565">
        <f t="shared" si="8"/>
        <v>0.1316920667886734</v>
      </c>
      <c r="E121" s="565">
        <v>0.1316920667886734</v>
      </c>
      <c r="F121" s="566">
        <v>2002</v>
      </c>
      <c r="G121" s="3" t="s">
        <v>757</v>
      </c>
      <c r="J121" s="547"/>
      <c r="K121" s="548"/>
    </row>
    <row r="122" spans="1:11" ht="15">
      <c r="A122" s="562" t="s">
        <v>753</v>
      </c>
      <c r="B122" s="545">
        <v>633000</v>
      </c>
      <c r="C122" s="564">
        <v>100</v>
      </c>
      <c r="D122" s="565">
        <f t="shared" si="8"/>
        <v>0.3599430322647095</v>
      </c>
      <c r="E122" s="565">
        <v>0.3599430322647095</v>
      </c>
      <c r="F122" s="566">
        <v>2002</v>
      </c>
      <c r="J122" s="547"/>
      <c r="K122" s="548"/>
    </row>
    <row r="123" spans="1:11" ht="15">
      <c r="A123" s="562" t="s">
        <v>690</v>
      </c>
      <c r="B123" s="545">
        <v>31894000</v>
      </c>
      <c r="C123" s="564">
        <v>97</v>
      </c>
      <c r="D123" s="565">
        <f t="shared" si="8"/>
        <v>0.0995042473077774</v>
      </c>
      <c r="E123" s="565">
        <v>0.0995042473077774</v>
      </c>
      <c r="F123" s="566">
        <v>2004</v>
      </c>
      <c r="G123" s="3" t="s">
        <v>757</v>
      </c>
      <c r="J123" s="547"/>
      <c r="K123" s="548"/>
    </row>
    <row r="124" spans="1:11" ht="15">
      <c r="A124" s="562" t="s">
        <v>691</v>
      </c>
      <c r="B124" s="545">
        <v>21854387</v>
      </c>
      <c r="C124" s="564">
        <v>11.7</v>
      </c>
      <c r="D124" s="565">
        <f t="shared" si="8"/>
        <v>0.01691993847489357</v>
      </c>
      <c r="E124" s="565">
        <v>0.008289020508527756</v>
      </c>
      <c r="F124" s="566">
        <v>2004</v>
      </c>
      <c r="G124" s="3" t="s">
        <v>757</v>
      </c>
      <c r="J124" s="547"/>
      <c r="K124" s="546"/>
    </row>
    <row r="125" spans="1:7" ht="15">
      <c r="A125" s="568" t="s">
        <v>692</v>
      </c>
      <c r="B125" s="545">
        <v>59130000</v>
      </c>
      <c r="C125" s="564">
        <v>13</v>
      </c>
      <c r="D125" s="565">
        <f t="shared" si="8"/>
        <v>0.02786371484398842</v>
      </c>
      <c r="E125" s="565">
        <v>0.02786371484398842</v>
      </c>
      <c r="F125" s="566">
        <v>2004</v>
      </c>
      <c r="G125" s="3" t="s">
        <v>757</v>
      </c>
    </row>
    <row r="126" spans="1:7" ht="15">
      <c r="A126" s="562" t="s">
        <v>693</v>
      </c>
      <c r="B126" s="545">
        <v>2103761</v>
      </c>
      <c r="C126" s="564">
        <v>34</v>
      </c>
      <c r="D126" s="565">
        <f t="shared" si="8"/>
        <v>0.05619094893336296</v>
      </c>
      <c r="E126" s="565">
        <v>0.05619094893336296</v>
      </c>
      <c r="F126" s="566">
        <v>2004</v>
      </c>
      <c r="G126" s="3" t="s">
        <v>757</v>
      </c>
    </row>
    <row r="127" spans="1:6" ht="15">
      <c r="A127" s="568" t="s">
        <v>864</v>
      </c>
      <c r="B127" s="545">
        <v>10065</v>
      </c>
      <c r="C127" s="564">
        <v>100</v>
      </c>
      <c r="D127" s="565">
        <f t="shared" si="8"/>
        <v>0.13084112107753754</v>
      </c>
      <c r="E127" s="565">
        <f>$E$119</f>
        <v>0.13084112107753754</v>
      </c>
      <c r="F127" s="563"/>
    </row>
    <row r="128" spans="1:7" ht="15">
      <c r="A128" s="562" t="s">
        <v>694</v>
      </c>
      <c r="B128" s="545">
        <v>28043744</v>
      </c>
      <c r="C128" s="564">
        <v>43.6</v>
      </c>
      <c r="D128" s="565">
        <f t="shared" si="8"/>
        <v>0.01691993847489357</v>
      </c>
      <c r="E128" s="565">
        <v>0.013955296017229557</v>
      </c>
      <c r="F128" s="566">
        <v>2004</v>
      </c>
      <c r="G128" s="3" t="s">
        <v>757</v>
      </c>
    </row>
    <row r="129" spans="1:7" ht="15">
      <c r="A129" s="562" t="s">
        <v>695</v>
      </c>
      <c r="B129" s="545">
        <v>16615394</v>
      </c>
      <c r="C129" s="564">
        <v>100</v>
      </c>
      <c r="D129" s="565">
        <v>0.4804631769657135</v>
      </c>
      <c r="E129" s="565">
        <v>0.4804631769657135</v>
      </c>
      <c r="F129" s="566">
        <v>2003</v>
      </c>
      <c r="G129" s="36" t="s">
        <v>746</v>
      </c>
    </row>
    <row r="130" spans="1:7" ht="15">
      <c r="A130" s="562" t="s">
        <v>809</v>
      </c>
      <c r="B130" s="545">
        <v>4367800</v>
      </c>
      <c r="C130" s="564">
        <v>87</v>
      </c>
      <c r="D130" s="565">
        <v>0.677850604057312</v>
      </c>
      <c r="E130" s="565">
        <v>0.677850604057312</v>
      </c>
      <c r="F130" s="566">
        <v>2001</v>
      </c>
      <c r="G130" s="36" t="s">
        <v>746</v>
      </c>
    </row>
    <row r="131" spans="1:7" ht="15">
      <c r="A131" s="562" t="s">
        <v>696</v>
      </c>
      <c r="B131" s="545">
        <v>5815524</v>
      </c>
      <c r="C131" s="564">
        <v>72.1</v>
      </c>
      <c r="D131" s="565">
        <f>IF(E131&lt;$B$211,$B$211,E131)</f>
        <v>0.044456642121076584</v>
      </c>
      <c r="E131" s="565">
        <v>0.044456642121076584</v>
      </c>
      <c r="F131" s="566">
        <v>2003</v>
      </c>
      <c r="G131" s="36" t="s">
        <v>757</v>
      </c>
    </row>
    <row r="132" spans="1:6" ht="15">
      <c r="A132" s="562" t="s">
        <v>810</v>
      </c>
      <c r="B132" s="545">
        <v>15203822</v>
      </c>
      <c r="C132" s="564">
        <v>9.3</v>
      </c>
      <c r="D132" s="565">
        <f>IF(E132&lt;$B$211,$B$211,E132)</f>
        <v>0.01691993847489357</v>
      </c>
      <c r="E132" s="565">
        <v>0.0012082158355042338</v>
      </c>
      <c r="F132" s="566">
        <v>2004</v>
      </c>
    </row>
    <row r="133" spans="1:7" ht="15">
      <c r="A133" s="568" t="s">
        <v>697</v>
      </c>
      <c r="B133" s="545">
        <v>133767000</v>
      </c>
      <c r="C133" s="564">
        <v>50.6</v>
      </c>
      <c r="D133" s="565">
        <f>IF(E133&lt;$B$211,$B$211,E133)</f>
        <v>0.020014677196741104</v>
      </c>
      <c r="E133" s="565">
        <v>0.020014677196741104</v>
      </c>
      <c r="F133" s="566">
        <v>2003</v>
      </c>
      <c r="G133" s="3" t="s">
        <v>757</v>
      </c>
    </row>
    <row r="134" spans="1:6" ht="15">
      <c r="A134" s="562" t="s">
        <v>811</v>
      </c>
      <c r="B134" s="545">
        <v>1496</v>
      </c>
      <c r="C134" s="564">
        <v>97</v>
      </c>
      <c r="D134" s="565">
        <f>IF(E134&lt;$B$211,$B$211,E134)</f>
        <v>1</v>
      </c>
      <c r="E134" s="565">
        <v>1</v>
      </c>
      <c r="F134" s="566">
        <v>1996</v>
      </c>
    </row>
    <row r="135" spans="1:7" ht="15">
      <c r="A135" s="562" t="s">
        <v>698</v>
      </c>
      <c r="B135" s="545">
        <v>4889252</v>
      </c>
      <c r="C135" s="564">
        <v>100</v>
      </c>
      <c r="D135" s="565">
        <v>0.8235164284706116</v>
      </c>
      <c r="E135" s="565">
        <v>0.8235164284706116</v>
      </c>
      <c r="F135" s="566">
        <v>2003</v>
      </c>
      <c r="G135" s="36" t="s">
        <v>746</v>
      </c>
    </row>
    <row r="136" spans="1:7" ht="15">
      <c r="A136" s="562" t="s">
        <v>699</v>
      </c>
      <c r="B136" s="545">
        <v>2773479</v>
      </c>
      <c r="C136" s="564">
        <v>98</v>
      </c>
      <c r="D136" s="565">
        <f aca="true" t="shared" si="9" ref="D136:D143">IF(E136&lt;$B$211,$B$211,E136)</f>
        <v>0.1853492259979248</v>
      </c>
      <c r="E136" s="565">
        <v>0.1853492259979248</v>
      </c>
      <c r="F136" s="566">
        <v>2004</v>
      </c>
      <c r="G136" s="36" t="s">
        <v>757</v>
      </c>
    </row>
    <row r="137" spans="1:7" ht="15">
      <c r="A137" s="568" t="s">
        <v>700</v>
      </c>
      <c r="B137" s="545">
        <v>165150000</v>
      </c>
      <c r="C137" s="564">
        <v>62.4</v>
      </c>
      <c r="D137" s="565">
        <f t="shared" si="9"/>
        <v>0.0499761626124382</v>
      </c>
      <c r="E137" s="565">
        <v>0.0499761626124382</v>
      </c>
      <c r="F137" s="566">
        <v>2004</v>
      </c>
      <c r="G137" s="36" t="s">
        <v>757</v>
      </c>
    </row>
    <row r="138" spans="1:6" ht="15">
      <c r="A138" s="568" t="s">
        <v>812</v>
      </c>
      <c r="B138" s="545">
        <v>21388</v>
      </c>
      <c r="C138" s="564">
        <v>97</v>
      </c>
      <c r="D138" s="565">
        <f t="shared" si="9"/>
        <v>0.1111111119389534</v>
      </c>
      <c r="E138" s="565">
        <v>0.1111111119389534</v>
      </c>
      <c r="F138" s="566">
        <v>1998</v>
      </c>
    </row>
    <row r="139" spans="1:7" ht="15">
      <c r="A139" s="562" t="s">
        <v>701</v>
      </c>
      <c r="B139" s="545">
        <v>3504483</v>
      </c>
      <c r="C139" s="564">
        <v>88.1</v>
      </c>
      <c r="D139" s="565">
        <f t="shared" si="9"/>
        <v>0.7562711834907532</v>
      </c>
      <c r="E139" s="565">
        <v>0.7562711834907532</v>
      </c>
      <c r="F139" s="566">
        <v>2000</v>
      </c>
      <c r="G139" s="36" t="s">
        <v>757</v>
      </c>
    </row>
    <row r="140" spans="1:6" ht="15">
      <c r="A140" s="568" t="s">
        <v>813</v>
      </c>
      <c r="B140" s="545">
        <v>5461940</v>
      </c>
      <c r="C140" s="564">
        <v>11</v>
      </c>
      <c r="D140" s="565">
        <f t="shared" si="9"/>
        <v>0.01691993847489357</v>
      </c>
      <c r="E140" s="565">
        <v>0.016872890293598175</v>
      </c>
      <c r="F140" s="566">
        <v>2000</v>
      </c>
    </row>
    <row r="141" spans="1:7" ht="15">
      <c r="A141" s="562" t="s">
        <v>702</v>
      </c>
      <c r="B141" s="545">
        <v>6451120</v>
      </c>
      <c r="C141" s="564">
        <v>96.7</v>
      </c>
      <c r="D141" s="565">
        <f t="shared" si="9"/>
        <v>0.5543553829193115</v>
      </c>
      <c r="E141" s="565">
        <v>0.5543553829193115</v>
      </c>
      <c r="F141" s="566">
        <v>2002</v>
      </c>
      <c r="G141" s="3" t="s">
        <v>757</v>
      </c>
    </row>
    <row r="142" spans="1:7" ht="15">
      <c r="A142" s="562" t="s">
        <v>703</v>
      </c>
      <c r="B142" s="545">
        <v>29461933</v>
      </c>
      <c r="C142" s="564">
        <v>85.7</v>
      </c>
      <c r="D142" s="565">
        <f t="shared" si="9"/>
        <v>0.11000587791204453</v>
      </c>
      <c r="E142" s="565">
        <v>0.11000587791204453</v>
      </c>
      <c r="F142" s="566">
        <v>1999</v>
      </c>
      <c r="G142" s="36" t="s">
        <v>757</v>
      </c>
    </row>
    <row r="143" spans="1:7" ht="15">
      <c r="A143" s="562" t="s">
        <v>704</v>
      </c>
      <c r="B143" s="545">
        <v>94013200</v>
      </c>
      <c r="C143" s="564">
        <v>89.7</v>
      </c>
      <c r="D143" s="565">
        <f t="shared" si="9"/>
        <v>0.11311434209346771</v>
      </c>
      <c r="E143" s="565">
        <v>0.11311434209346771</v>
      </c>
      <c r="F143" s="566">
        <v>2000</v>
      </c>
      <c r="G143" s="36" t="s">
        <v>757</v>
      </c>
    </row>
    <row r="144" spans="1:7" ht="15">
      <c r="A144" s="562" t="s">
        <v>814</v>
      </c>
      <c r="B144" s="545">
        <v>38186860</v>
      </c>
      <c r="C144" s="564">
        <v>100</v>
      </c>
      <c r="D144" s="565">
        <v>0.2967579662799835</v>
      </c>
      <c r="E144" s="565">
        <v>0.2967579662799835</v>
      </c>
      <c r="F144" s="566">
        <v>2003</v>
      </c>
      <c r="G144" s="36" t="s">
        <v>746</v>
      </c>
    </row>
    <row r="145" spans="1:7" ht="15">
      <c r="A145" s="562" t="s">
        <v>705</v>
      </c>
      <c r="B145" s="545">
        <v>10637346</v>
      </c>
      <c r="C145" s="564">
        <v>100</v>
      </c>
      <c r="D145" s="565">
        <v>0.5476592779159546</v>
      </c>
      <c r="E145" s="565">
        <v>0.5476592779159546</v>
      </c>
      <c r="F145" s="566">
        <v>2003</v>
      </c>
      <c r="G145" s="36" t="s">
        <v>746</v>
      </c>
    </row>
    <row r="146" spans="1:7" ht="15">
      <c r="A146" s="562" t="s">
        <v>706</v>
      </c>
      <c r="B146" s="545">
        <v>1715010</v>
      </c>
      <c r="C146" s="564">
        <v>98.7</v>
      </c>
      <c r="D146" s="565">
        <f>IF(E146&lt;$B$211,$B$211,E146)</f>
        <v>0.37225043773651123</v>
      </c>
      <c r="E146" s="565">
        <v>0.37225043773651123</v>
      </c>
      <c r="F146" s="566">
        <v>2001</v>
      </c>
      <c r="G146" s="36" t="s">
        <v>757</v>
      </c>
    </row>
    <row r="147" spans="1:7" ht="15">
      <c r="A147" s="562" t="s">
        <v>815</v>
      </c>
      <c r="B147" s="545">
        <v>49879811</v>
      </c>
      <c r="C147" s="564">
        <v>100</v>
      </c>
      <c r="D147" s="565">
        <v>0.3361215889453888</v>
      </c>
      <c r="E147" s="565">
        <v>0.3361215889453888</v>
      </c>
      <c r="F147" s="566">
        <v>2003</v>
      </c>
      <c r="G147" s="36" t="s">
        <v>746</v>
      </c>
    </row>
    <row r="148" spans="1:6" ht="15">
      <c r="A148" s="562" t="s">
        <v>816</v>
      </c>
      <c r="B148" s="545">
        <v>3562045</v>
      </c>
      <c r="C148" s="564">
        <v>98.6</v>
      </c>
      <c r="D148" s="565">
        <f aca="true" t="shared" si="10" ref="D148:D164">IF(E148&lt;$B$211,$B$211,E148)</f>
        <v>0.3288024365901947</v>
      </c>
      <c r="E148" s="565">
        <v>0.3288024365901947</v>
      </c>
      <c r="F148" s="566">
        <v>2003</v>
      </c>
    </row>
    <row r="149" spans="1:7" ht="15">
      <c r="A149" s="568" t="s">
        <v>782</v>
      </c>
      <c r="B149" s="545">
        <v>3751781</v>
      </c>
      <c r="C149" s="564">
        <v>37.1</v>
      </c>
      <c r="D149" s="565">
        <f t="shared" si="10"/>
        <v>0.01691993847489357</v>
      </c>
      <c r="E149" s="565">
        <v>0.0031430067028850317</v>
      </c>
      <c r="F149" s="566">
        <v>2004</v>
      </c>
      <c r="G149" s="3" t="s">
        <v>757</v>
      </c>
    </row>
    <row r="150" spans="1:6" ht="15">
      <c r="A150" s="562" t="s">
        <v>707</v>
      </c>
      <c r="B150" s="545">
        <v>21431298</v>
      </c>
      <c r="C150" s="564">
        <v>99</v>
      </c>
      <c r="D150" s="565">
        <f t="shared" si="10"/>
        <v>0.22024714946746826</v>
      </c>
      <c r="E150" s="565">
        <v>0.22024714946746826</v>
      </c>
      <c r="F150" s="566">
        <v>2003</v>
      </c>
    </row>
    <row r="151" spans="1:7" ht="15">
      <c r="A151" s="562" t="s">
        <v>817</v>
      </c>
      <c r="B151" s="545">
        <v>142905208</v>
      </c>
      <c r="C151" s="564">
        <v>93</v>
      </c>
      <c r="D151" s="565">
        <f t="shared" si="10"/>
        <v>0.3209304213523865</v>
      </c>
      <c r="E151" s="565">
        <v>0.3209304213523865</v>
      </c>
      <c r="F151" s="566">
        <v>2003</v>
      </c>
      <c r="G151" s="36"/>
    </row>
    <row r="152" spans="1:11" ht="15">
      <c r="A152" s="562" t="s">
        <v>818</v>
      </c>
      <c r="B152" s="545">
        <v>10412820</v>
      </c>
      <c r="C152" s="564">
        <v>6</v>
      </c>
      <c r="D152" s="565">
        <f t="shared" si="10"/>
        <v>0.01691993847489357</v>
      </c>
      <c r="E152" s="565">
        <v>0.002476123161613941</v>
      </c>
      <c r="F152" s="566">
        <v>2004</v>
      </c>
      <c r="J152" s="547"/>
      <c r="K152" s="548"/>
    </row>
    <row r="153" spans="1:11" ht="15">
      <c r="A153" s="568" t="s">
        <v>708</v>
      </c>
      <c r="B153" s="545">
        <v>38958</v>
      </c>
      <c r="C153" s="564">
        <v>95</v>
      </c>
      <c r="D153" s="565">
        <f t="shared" si="10"/>
        <v>0.1860465109348297</v>
      </c>
      <c r="E153" s="565">
        <v>0.1860465109348297</v>
      </c>
      <c r="F153" s="566">
        <v>1997</v>
      </c>
      <c r="J153" s="547"/>
      <c r="K153" s="548"/>
    </row>
    <row r="154" spans="1:11" ht="15">
      <c r="A154" s="562" t="s">
        <v>709</v>
      </c>
      <c r="B154" s="545">
        <v>173720</v>
      </c>
      <c r="C154" s="564">
        <v>98</v>
      </c>
      <c r="D154" s="565">
        <f t="shared" si="10"/>
        <v>0.062068965286016464</v>
      </c>
      <c r="E154" s="565">
        <v>0.062068965286016464</v>
      </c>
      <c r="F154" s="566">
        <v>1999</v>
      </c>
      <c r="J154" s="547"/>
      <c r="K154" s="548"/>
    </row>
    <row r="155" spans="1:11" ht="15">
      <c r="A155" s="568" t="s">
        <v>819</v>
      </c>
      <c r="B155" s="545">
        <v>99086</v>
      </c>
      <c r="C155" s="564">
        <v>66.8</v>
      </c>
      <c r="D155" s="565">
        <f t="shared" si="10"/>
        <v>0.0517241396009922</v>
      </c>
      <c r="E155" s="565">
        <v>0.0517241396009922</v>
      </c>
      <c r="F155" s="566">
        <v>1997</v>
      </c>
      <c r="J155" s="547"/>
      <c r="K155" s="548"/>
    </row>
    <row r="156" spans="1:11" ht="15">
      <c r="A156" s="562" t="s">
        <v>710</v>
      </c>
      <c r="B156" s="545">
        <v>184032</v>
      </c>
      <c r="C156" s="564">
        <v>93</v>
      </c>
      <c r="D156" s="565">
        <f t="shared" si="10"/>
        <v>0.17543859779834747</v>
      </c>
      <c r="E156" s="565">
        <v>0.17543859779834747</v>
      </c>
      <c r="F156" s="566">
        <v>1999</v>
      </c>
      <c r="J156" s="547"/>
      <c r="K156" s="546"/>
    </row>
    <row r="157" spans="1:11" ht="15">
      <c r="A157" s="562" t="s">
        <v>820</v>
      </c>
      <c r="B157" s="545">
        <v>33163</v>
      </c>
      <c r="C157" s="564">
        <v>100</v>
      </c>
      <c r="D157" s="565">
        <f t="shared" si="10"/>
        <v>0.3478260934352875</v>
      </c>
      <c r="E157" s="565">
        <v>0.3478260934352875</v>
      </c>
      <c r="F157" s="566">
        <v>1990</v>
      </c>
      <c r="J157" s="547"/>
      <c r="K157" s="548"/>
    </row>
    <row r="158" spans="1:6" ht="15">
      <c r="A158" s="562" t="s">
        <v>821</v>
      </c>
      <c r="B158" s="545">
        <v>163800</v>
      </c>
      <c r="C158" s="564">
        <v>60</v>
      </c>
      <c r="D158" s="565">
        <f t="shared" si="10"/>
        <v>0.06666667014360428</v>
      </c>
      <c r="E158" s="565">
        <v>0.06666667014360428</v>
      </c>
      <c r="F158" s="566">
        <v>2004</v>
      </c>
    </row>
    <row r="159" spans="1:7" ht="15">
      <c r="A159" s="562" t="s">
        <v>711</v>
      </c>
      <c r="B159" s="545">
        <v>27563432</v>
      </c>
      <c r="C159" s="564">
        <v>99</v>
      </c>
      <c r="D159" s="565">
        <f t="shared" si="10"/>
        <v>0.16995063424110413</v>
      </c>
      <c r="E159" s="565">
        <v>0.16995063424110413</v>
      </c>
      <c r="F159" s="566">
        <v>2004</v>
      </c>
      <c r="G159" s="36" t="s">
        <v>757</v>
      </c>
    </row>
    <row r="160" spans="1:7" ht="15">
      <c r="A160" s="562" t="s">
        <v>712</v>
      </c>
      <c r="B160" s="545">
        <v>12509434</v>
      </c>
      <c r="C160" s="564">
        <v>42</v>
      </c>
      <c r="D160" s="565">
        <f t="shared" si="10"/>
        <v>0.01691993847489357</v>
      </c>
      <c r="E160" s="565">
        <v>0.00938195176422596</v>
      </c>
      <c r="F160" s="566">
        <v>2004</v>
      </c>
      <c r="G160" s="3" t="s">
        <v>757</v>
      </c>
    </row>
    <row r="161" spans="1:7" ht="15">
      <c r="A161" s="562" t="s">
        <v>822</v>
      </c>
      <c r="B161" s="545">
        <v>7291436</v>
      </c>
      <c r="C161" s="564">
        <v>100</v>
      </c>
      <c r="D161" s="565">
        <f t="shared" si="10"/>
        <v>0.3599430322647095</v>
      </c>
      <c r="E161" s="565">
        <v>0.3599430322647095</v>
      </c>
      <c r="F161" s="566">
        <v>2002</v>
      </c>
      <c r="G161" s="36"/>
    </row>
    <row r="162" spans="1:6" ht="15">
      <c r="A162" s="562" t="s">
        <v>823</v>
      </c>
      <c r="B162" s="545">
        <v>89770</v>
      </c>
      <c r="C162" s="564">
        <v>96</v>
      </c>
      <c r="D162" s="565">
        <f t="shared" si="10"/>
        <v>1.1749999523162842</v>
      </c>
      <c r="E162" s="565">
        <v>1.1749999523162842</v>
      </c>
      <c r="F162" s="566">
        <v>2004</v>
      </c>
    </row>
    <row r="163" spans="1:6" ht="15">
      <c r="A163" s="562" t="s">
        <v>824</v>
      </c>
      <c r="B163" s="545">
        <v>5746800</v>
      </c>
      <c r="C163" s="564">
        <v>12.1</v>
      </c>
      <c r="D163" s="565">
        <f t="shared" si="10"/>
        <v>0.01691993847489357</v>
      </c>
      <c r="E163" s="565">
        <v>0.000967492233030498</v>
      </c>
      <c r="F163" s="566">
        <v>2004</v>
      </c>
    </row>
    <row r="164" spans="1:7" ht="15">
      <c r="A164" s="562" t="s">
        <v>825</v>
      </c>
      <c r="B164" s="545">
        <v>5076700</v>
      </c>
      <c r="C164" s="564">
        <v>99.9</v>
      </c>
      <c r="D164" s="565">
        <f t="shared" si="10"/>
        <v>0.264799028635025</v>
      </c>
      <c r="E164" s="565">
        <v>0.264799028635025</v>
      </c>
      <c r="F164" s="566">
        <v>2001</v>
      </c>
      <c r="G164" s="36" t="s">
        <v>757</v>
      </c>
    </row>
    <row r="165" spans="1:7" ht="15">
      <c r="A165" s="562" t="s">
        <v>713</v>
      </c>
      <c r="B165" s="545">
        <v>5431024</v>
      </c>
      <c r="C165" s="564">
        <v>98</v>
      </c>
      <c r="D165" s="565">
        <v>0.43761569261550903</v>
      </c>
      <c r="E165" s="565">
        <v>0.43761569261550903</v>
      </c>
      <c r="F165" s="566">
        <v>2003</v>
      </c>
      <c r="G165" s="36" t="s">
        <v>746</v>
      </c>
    </row>
    <row r="166" spans="1:7" ht="15">
      <c r="A166" s="562" t="s">
        <v>714</v>
      </c>
      <c r="B166" s="545">
        <v>2049261</v>
      </c>
      <c r="C166" s="564">
        <v>99</v>
      </c>
      <c r="D166" s="565">
        <v>0.6037260890007019</v>
      </c>
      <c r="E166" s="565">
        <v>0.6037260890007019</v>
      </c>
      <c r="F166" s="566">
        <v>2002</v>
      </c>
      <c r="G166" s="36" t="s">
        <v>746</v>
      </c>
    </row>
    <row r="167" spans="1:6" ht="15">
      <c r="A167" s="562" t="s">
        <v>826</v>
      </c>
      <c r="B167" s="545">
        <v>530669</v>
      </c>
      <c r="C167" s="564">
        <v>15.7</v>
      </c>
      <c r="D167" s="565">
        <f>IF(E167&lt;$B$211,$B$211,E167)</f>
        <v>0.06132075563073158</v>
      </c>
      <c r="E167" s="565">
        <v>0.06132075563073158</v>
      </c>
      <c r="F167" s="566">
        <v>1999</v>
      </c>
    </row>
    <row r="168" spans="1:6" ht="15">
      <c r="A168" s="568" t="s">
        <v>827</v>
      </c>
      <c r="B168" s="545">
        <v>6799079</v>
      </c>
      <c r="C168" s="564">
        <v>30</v>
      </c>
      <c r="D168" s="565">
        <f>IF(E168&lt;$B$211,$B$211,E168)</f>
        <v>0.01691993847489357</v>
      </c>
      <c r="E168" s="565">
        <v>0.001932491664774716</v>
      </c>
      <c r="F168" s="566">
        <v>1997</v>
      </c>
    </row>
    <row r="169" spans="1:7" ht="15">
      <c r="A169" s="562" t="s">
        <v>715</v>
      </c>
      <c r="B169" s="545">
        <v>50034236</v>
      </c>
      <c r="C169" s="564">
        <v>75</v>
      </c>
      <c r="D169" s="565">
        <f>IF(E169&lt;$B$211,$B$211,E169)</f>
        <v>0.13259167969226837</v>
      </c>
      <c r="E169" s="565">
        <v>0.13259167969226837</v>
      </c>
      <c r="F169" s="566">
        <v>2004</v>
      </c>
      <c r="G169" s="36" t="s">
        <v>757</v>
      </c>
    </row>
    <row r="170" spans="1:7" ht="15">
      <c r="A170" s="562" t="s">
        <v>716</v>
      </c>
      <c r="B170" s="545">
        <v>46072831</v>
      </c>
      <c r="C170" s="564">
        <v>100</v>
      </c>
      <c r="D170" s="565">
        <v>0.4872138202190399</v>
      </c>
      <c r="E170" s="565">
        <v>0.4872138202190399</v>
      </c>
      <c r="F170" s="566">
        <v>2003</v>
      </c>
      <c r="G170" s="36" t="s">
        <v>746</v>
      </c>
    </row>
    <row r="171" spans="1:7" ht="15">
      <c r="A171" s="562" t="s">
        <v>717</v>
      </c>
      <c r="B171" s="545">
        <v>20653000</v>
      </c>
      <c r="C171" s="564">
        <v>76.6</v>
      </c>
      <c r="D171" s="565">
        <f>IF(E171&lt;$B$211,$B$211,E171)</f>
        <v>0.06478301435709</v>
      </c>
      <c r="E171" s="565">
        <v>0.06478301435709</v>
      </c>
      <c r="F171" s="566">
        <v>2004</v>
      </c>
      <c r="G171" s="36" t="s">
        <v>757</v>
      </c>
    </row>
    <row r="172" spans="1:7" ht="15">
      <c r="A172" s="568" t="s">
        <v>718</v>
      </c>
      <c r="B172" s="545">
        <v>38193000</v>
      </c>
      <c r="C172" s="564">
        <v>35.9</v>
      </c>
      <c r="D172" s="565">
        <f>IF(E172&lt;$B$211,$B$211,E172)</f>
        <v>0.03151486814022064</v>
      </c>
      <c r="E172" s="565">
        <v>0.03151486814022064</v>
      </c>
      <c r="F172" s="566">
        <v>2004</v>
      </c>
      <c r="G172" s="36" t="s">
        <v>757</v>
      </c>
    </row>
    <row r="173" spans="1:6" ht="15">
      <c r="A173" s="562" t="s">
        <v>828</v>
      </c>
      <c r="B173" s="545">
        <v>531170</v>
      </c>
      <c r="C173" s="564">
        <v>84</v>
      </c>
      <c r="D173" s="565">
        <f>IF(E173&lt;$B$211,$B$211,E173)</f>
        <v>0.01691993847489357</v>
      </c>
      <c r="E173" s="565">
        <v>0.009411764331161976</v>
      </c>
      <c r="F173" s="566">
        <v>2000</v>
      </c>
    </row>
    <row r="174" spans="1:6" ht="15">
      <c r="A174" s="562" t="s">
        <v>719</v>
      </c>
      <c r="B174" s="545">
        <v>1055506</v>
      </c>
      <c r="C174" s="564">
        <v>27</v>
      </c>
      <c r="D174" s="565">
        <f>IF(E174&lt;$B$211,$B$211,E174)</f>
        <v>0.0295475535094738</v>
      </c>
      <c r="E174" s="565">
        <v>0.0295475535094738</v>
      </c>
      <c r="F174" s="566">
        <v>2004</v>
      </c>
    </row>
    <row r="175" spans="1:7" ht="15">
      <c r="A175" s="562" t="s">
        <v>720</v>
      </c>
      <c r="B175" s="545">
        <v>9378126</v>
      </c>
      <c r="C175" s="564">
        <v>100</v>
      </c>
      <c r="D175" s="565">
        <v>0.819894015789032</v>
      </c>
      <c r="E175" s="565">
        <v>0.819894015789032</v>
      </c>
      <c r="F175" s="566">
        <v>2002</v>
      </c>
      <c r="G175" s="36" t="s">
        <v>746</v>
      </c>
    </row>
    <row r="176" spans="1:7" ht="15">
      <c r="A176" s="562" t="s">
        <v>721</v>
      </c>
      <c r="B176" s="545">
        <v>7826153</v>
      </c>
      <c r="C176" s="564">
        <v>100</v>
      </c>
      <c r="D176" s="565">
        <v>0.5018830895423889</v>
      </c>
      <c r="E176" s="565">
        <v>0.5018830895423889</v>
      </c>
      <c r="F176" s="566">
        <v>2003</v>
      </c>
      <c r="G176" s="36" t="s">
        <v>746</v>
      </c>
    </row>
    <row r="177" spans="1:7" ht="15">
      <c r="A177" s="568" t="s">
        <v>722</v>
      </c>
      <c r="B177" s="545">
        <v>20125000</v>
      </c>
      <c r="C177" s="564">
        <v>92.7</v>
      </c>
      <c r="D177" s="565">
        <f aca="true" t="shared" si="11" ref="D177:D187">IF(E177&lt;$B$211,$B$211,E177)</f>
        <v>0.7193540930747986</v>
      </c>
      <c r="E177" s="565">
        <v>0.7193540930747986</v>
      </c>
      <c r="F177" s="566">
        <v>2001</v>
      </c>
      <c r="G177" s="36" t="s">
        <v>757</v>
      </c>
    </row>
    <row r="178" spans="1:6" ht="15">
      <c r="A178" s="568" t="s">
        <v>829</v>
      </c>
      <c r="B178" s="545">
        <v>6710161</v>
      </c>
      <c r="C178" s="564">
        <v>85</v>
      </c>
      <c r="D178" s="565">
        <f t="shared" si="11"/>
        <v>0.15132105350494385</v>
      </c>
      <c r="E178" s="565">
        <v>0.15132105350494385</v>
      </c>
      <c r="F178" s="566">
        <v>2003</v>
      </c>
    </row>
    <row r="179" spans="1:7" ht="15">
      <c r="A179" s="562" t="s">
        <v>862</v>
      </c>
      <c r="B179" s="558">
        <v>34443603</v>
      </c>
      <c r="C179" s="564">
        <v>12</v>
      </c>
      <c r="D179" s="565">
        <f t="shared" si="11"/>
        <v>0.041332509368658066</v>
      </c>
      <c r="E179" s="565">
        <f>$E$97</f>
        <v>0.041332509368658066</v>
      </c>
      <c r="F179" s="566"/>
      <c r="G179" s="36"/>
    </row>
    <row r="180" spans="1:7" ht="15">
      <c r="A180" s="562" t="s">
        <v>723</v>
      </c>
      <c r="B180" s="545">
        <v>67311917</v>
      </c>
      <c r="C180" s="564">
        <v>99.3</v>
      </c>
      <c r="D180" s="565">
        <f t="shared" si="11"/>
        <v>0.1716700792312622</v>
      </c>
      <c r="E180" s="565">
        <v>0.1716700792312622</v>
      </c>
      <c r="F180" s="566">
        <v>2000</v>
      </c>
      <c r="G180" s="3" t="s">
        <v>757</v>
      </c>
    </row>
    <row r="181" spans="1:6" ht="15">
      <c r="A181" s="562" t="s">
        <v>830</v>
      </c>
      <c r="B181" s="545">
        <v>2055004</v>
      </c>
      <c r="C181" s="564">
        <v>97.4</v>
      </c>
      <c r="D181" s="565">
        <f t="shared" si="11"/>
        <v>0.5528255701065063</v>
      </c>
      <c r="E181" s="565">
        <v>0.5528255701065063</v>
      </c>
      <c r="F181" s="566">
        <v>2001</v>
      </c>
    </row>
    <row r="182" spans="1:7" ht="15">
      <c r="A182" s="568" t="s">
        <v>724</v>
      </c>
      <c r="B182" s="545">
        <v>79221000</v>
      </c>
      <c r="C182" s="564">
        <v>17</v>
      </c>
      <c r="D182" s="565">
        <f t="shared" si="11"/>
        <v>0.01691993847489357</v>
      </c>
      <c r="E182" s="565">
        <v>0.0013158266665413976</v>
      </c>
      <c r="F182" s="566">
        <v>2003</v>
      </c>
      <c r="G182" s="36" t="s">
        <v>757</v>
      </c>
    </row>
    <row r="183" spans="1:7" ht="15">
      <c r="A183" s="562" t="s">
        <v>724</v>
      </c>
      <c r="B183" s="545">
        <v>1066582</v>
      </c>
      <c r="C183" s="564">
        <v>22</v>
      </c>
      <c r="D183" s="565">
        <f t="shared" si="11"/>
        <v>0.05487804859876633</v>
      </c>
      <c r="E183" s="565">
        <v>0.05487804859876633</v>
      </c>
      <c r="F183" s="566">
        <v>2004</v>
      </c>
      <c r="G183" s="3" t="s">
        <v>757</v>
      </c>
    </row>
    <row r="184" spans="1:7" ht="15">
      <c r="A184" s="562" t="s">
        <v>725</v>
      </c>
      <c r="B184" s="545">
        <v>6191155</v>
      </c>
      <c r="C184" s="564">
        <v>20</v>
      </c>
      <c r="D184" s="565">
        <f t="shared" si="11"/>
        <v>0.01691993847489357</v>
      </c>
      <c r="E184" s="565">
        <v>0.003787123830989003</v>
      </c>
      <c r="F184" s="566">
        <v>2004</v>
      </c>
      <c r="G184" s="3" t="s">
        <v>757</v>
      </c>
    </row>
    <row r="185" spans="1:6" ht="15">
      <c r="A185" s="568" t="s">
        <v>726</v>
      </c>
      <c r="B185" s="545">
        <v>102371</v>
      </c>
      <c r="C185" s="564">
        <v>23</v>
      </c>
      <c r="D185" s="565">
        <f t="shared" si="11"/>
        <v>0.3235294222831726</v>
      </c>
      <c r="E185" s="565">
        <v>0.3235294222831726</v>
      </c>
      <c r="F185" s="566">
        <v>2001</v>
      </c>
    </row>
    <row r="186" spans="1:7" ht="15">
      <c r="A186" s="562" t="s">
        <v>727</v>
      </c>
      <c r="B186" s="545">
        <v>1317714</v>
      </c>
      <c r="C186" s="564">
        <v>99</v>
      </c>
      <c r="D186" s="565">
        <f t="shared" si="11"/>
        <v>0.08398744463920593</v>
      </c>
      <c r="E186" s="565">
        <v>0.08398744463920593</v>
      </c>
      <c r="F186" s="566">
        <v>1997</v>
      </c>
      <c r="G186" s="3" t="s">
        <v>757</v>
      </c>
    </row>
    <row r="187" spans="1:7" ht="15">
      <c r="A187" s="562" t="s">
        <v>728</v>
      </c>
      <c r="B187" s="545">
        <v>10549300</v>
      </c>
      <c r="C187" s="564">
        <v>99.5</v>
      </c>
      <c r="D187" s="565">
        <f t="shared" si="11"/>
        <v>0.24675455689430237</v>
      </c>
      <c r="E187" s="565">
        <v>0.24675455689430237</v>
      </c>
      <c r="F187" s="566">
        <v>2004</v>
      </c>
      <c r="G187" s="3" t="s">
        <v>757</v>
      </c>
    </row>
    <row r="188" spans="1:7" ht="15">
      <c r="A188" s="562" t="s">
        <v>831</v>
      </c>
      <c r="B188" s="545">
        <v>72698000</v>
      </c>
      <c r="C188" s="564">
        <v>99.9</v>
      </c>
      <c r="D188" s="565">
        <v>0.2411496639251709</v>
      </c>
      <c r="E188" s="565">
        <v>0.2411496639251709</v>
      </c>
      <c r="F188" s="566">
        <v>2003</v>
      </c>
      <c r="G188" s="36" t="s">
        <v>746</v>
      </c>
    </row>
    <row r="189" spans="1:6" ht="15">
      <c r="A189" s="568" t="s">
        <v>832</v>
      </c>
      <c r="B189" s="545">
        <v>5123940</v>
      </c>
      <c r="C189" s="564">
        <v>100</v>
      </c>
      <c r="D189" s="565">
        <f>IF(E189&lt;$B$211,$B$211,E189)</f>
        <v>0.18272840976715088</v>
      </c>
      <c r="E189" s="565">
        <v>0.18272840976715088</v>
      </c>
      <c r="F189" s="566">
        <v>2002</v>
      </c>
    </row>
    <row r="190" spans="1:6" ht="15">
      <c r="A190" s="568" t="s">
        <v>833</v>
      </c>
      <c r="B190" s="569">
        <v>9650</v>
      </c>
      <c r="C190" s="564">
        <v>92</v>
      </c>
      <c r="D190" s="565">
        <f>IF(E190&lt;$B$211,$B$211,E190)</f>
        <v>0.1818181872367859</v>
      </c>
      <c r="E190" s="565">
        <v>0.1818181872367859</v>
      </c>
      <c r="F190" s="566">
        <v>2002</v>
      </c>
    </row>
    <row r="191" spans="1:7" ht="15">
      <c r="A191" s="568" t="s">
        <v>729</v>
      </c>
      <c r="B191" s="545">
        <v>30661300</v>
      </c>
      <c r="C191" s="564">
        <v>9</v>
      </c>
      <c r="D191" s="565">
        <f>IF(E191&lt;$B$211,$B$211,E191)</f>
        <v>0.01691993847489357</v>
      </c>
      <c r="E191" s="565">
        <v>0.01359601505100727</v>
      </c>
      <c r="F191" s="566">
        <v>2004</v>
      </c>
      <c r="G191" s="3" t="s">
        <v>757</v>
      </c>
    </row>
    <row r="192" spans="1:6" ht="15">
      <c r="A192" s="562" t="s">
        <v>730</v>
      </c>
      <c r="B192" s="545">
        <v>45962947</v>
      </c>
      <c r="C192" s="564">
        <v>100</v>
      </c>
      <c r="D192" s="565">
        <f>IF(E192&lt;$B$211,$B$211,E192)</f>
        <v>0.39886239171028137</v>
      </c>
      <c r="E192" s="565">
        <v>0.39886239171028137</v>
      </c>
      <c r="F192" s="566">
        <v>2003</v>
      </c>
    </row>
    <row r="193" spans="1:7" ht="15">
      <c r="A193" s="568" t="s">
        <v>731</v>
      </c>
      <c r="B193" s="545">
        <v>4765000</v>
      </c>
      <c r="C193" s="564">
        <v>100</v>
      </c>
      <c r="D193" s="565">
        <f>IF(E193&lt;$B$211,$B$211,E193)</f>
        <v>0.33136504888534546</v>
      </c>
      <c r="E193" s="565">
        <v>0.33136504888534546</v>
      </c>
      <c r="F193" s="566">
        <v>2001</v>
      </c>
      <c r="G193" s="36"/>
    </row>
    <row r="194" spans="1:7" ht="15">
      <c r="A194" s="562" t="s">
        <v>732</v>
      </c>
      <c r="B194" s="545">
        <v>62261967</v>
      </c>
      <c r="C194" s="564">
        <v>100</v>
      </c>
      <c r="D194" s="565">
        <v>1.0108957290649414</v>
      </c>
      <c r="E194" s="565">
        <v>1.0108957290649414</v>
      </c>
      <c r="F194" s="566">
        <v>1997</v>
      </c>
      <c r="G194" s="36" t="s">
        <v>746</v>
      </c>
    </row>
    <row r="195" spans="1:7" ht="15">
      <c r="A195" s="568" t="s">
        <v>733</v>
      </c>
      <c r="B195" s="545">
        <v>41900000</v>
      </c>
      <c r="C195" s="564">
        <v>13.9</v>
      </c>
      <c r="D195" s="565">
        <f>IF(E195&lt;$B$211,$B$211,E195)</f>
        <v>0.01691993847489357</v>
      </c>
      <c r="E195" s="565">
        <v>0.007360238116234541</v>
      </c>
      <c r="F195" s="566">
        <v>2002</v>
      </c>
      <c r="G195" s="3" t="s">
        <v>757</v>
      </c>
    </row>
    <row r="196" spans="1:7" ht="15">
      <c r="A196" s="562" t="s">
        <v>734</v>
      </c>
      <c r="B196" s="545">
        <v>309050816</v>
      </c>
      <c r="C196" s="564">
        <v>100</v>
      </c>
      <c r="D196" s="565">
        <v>1.6268706321716309</v>
      </c>
      <c r="E196" s="565">
        <v>1.6268706321716309</v>
      </c>
      <c r="F196" s="566">
        <v>2000</v>
      </c>
      <c r="G196" s="36" t="s">
        <v>746</v>
      </c>
    </row>
    <row r="197" spans="1:7" ht="15">
      <c r="A197" s="562" t="s">
        <v>735</v>
      </c>
      <c r="B197" s="545">
        <v>3356584</v>
      </c>
      <c r="C197" s="564">
        <v>98.3</v>
      </c>
      <c r="D197" s="565">
        <f aca="true" t="shared" si="12" ref="D197:D204">IF(E197&lt;$B$211,$B$211,E197)</f>
        <v>1.1607195138931274</v>
      </c>
      <c r="E197" s="565">
        <v>1.1607195138931274</v>
      </c>
      <c r="F197" s="566">
        <v>2002</v>
      </c>
      <c r="G197" s="36" t="s">
        <v>757</v>
      </c>
    </row>
    <row r="198" spans="1:6" ht="15">
      <c r="A198" s="568" t="s">
        <v>736</v>
      </c>
      <c r="B198" s="545">
        <v>25567663</v>
      </c>
      <c r="C198" s="564">
        <v>100</v>
      </c>
      <c r="D198" s="565">
        <f t="shared" si="12"/>
        <v>0.13819798827171326</v>
      </c>
      <c r="E198" s="565">
        <v>0.13819798827171326</v>
      </c>
      <c r="F198" s="566">
        <v>2003</v>
      </c>
    </row>
    <row r="199" spans="1:6" ht="15">
      <c r="A199" s="568" t="s">
        <v>867</v>
      </c>
      <c r="B199" s="545">
        <v>234023</v>
      </c>
      <c r="C199" s="564">
        <v>27</v>
      </c>
      <c r="D199" s="565">
        <f t="shared" si="12"/>
        <v>0.13084112107753754</v>
      </c>
      <c r="E199" s="565">
        <f>$E$119</f>
        <v>0.13084112107753754</v>
      </c>
      <c r="F199" s="563"/>
    </row>
    <row r="200" spans="1:7" ht="15">
      <c r="A200" s="562" t="s">
        <v>737</v>
      </c>
      <c r="B200" s="545">
        <v>28833845</v>
      </c>
      <c r="C200" s="564">
        <v>99</v>
      </c>
      <c r="D200" s="565">
        <f t="shared" si="12"/>
        <v>0.552682638168335</v>
      </c>
      <c r="E200" s="565">
        <v>0.552682638168335</v>
      </c>
      <c r="F200" s="566">
        <v>2001</v>
      </c>
      <c r="G200" s="3" t="s">
        <v>757</v>
      </c>
    </row>
    <row r="201" spans="1:7" ht="15">
      <c r="A201" s="562" t="s">
        <v>749</v>
      </c>
      <c r="B201" s="545">
        <v>86927697</v>
      </c>
      <c r="C201" s="564">
        <v>97.6</v>
      </c>
      <c r="D201" s="565">
        <f t="shared" si="12"/>
        <v>0.028360994532704353</v>
      </c>
      <c r="E201" s="565">
        <f>($E$37+$E$101)/2</f>
        <v>0.028360994532704353</v>
      </c>
      <c r="F201" s="563"/>
      <c r="G201" s="3" t="s">
        <v>757</v>
      </c>
    </row>
    <row r="202" spans="1:7" ht="15">
      <c r="A202" s="562" t="s">
        <v>738</v>
      </c>
      <c r="B202" s="545">
        <v>23154000</v>
      </c>
      <c r="C202" s="564">
        <v>39.6</v>
      </c>
      <c r="D202" s="565">
        <f t="shared" si="12"/>
        <v>0.04099744185805321</v>
      </c>
      <c r="E202" s="565">
        <v>0.04099744185805321</v>
      </c>
      <c r="F202" s="566">
        <v>2004</v>
      </c>
      <c r="G202" s="3" t="s">
        <v>757</v>
      </c>
    </row>
    <row r="203" spans="1:7" ht="15">
      <c r="A203" s="562" t="s">
        <v>739</v>
      </c>
      <c r="B203" s="545">
        <v>13046508</v>
      </c>
      <c r="C203" s="564">
        <v>18.8</v>
      </c>
      <c r="D203" s="565">
        <f t="shared" si="12"/>
        <v>0.044946905225515366</v>
      </c>
      <c r="E203" s="565">
        <v>0.044946905225515366</v>
      </c>
      <c r="F203" s="566">
        <v>2004</v>
      </c>
      <c r="G203" s="3" t="s">
        <v>757</v>
      </c>
    </row>
    <row r="204" spans="1:7" ht="15">
      <c r="A204" s="568" t="s">
        <v>740</v>
      </c>
      <c r="B204" s="570">
        <v>12260000</v>
      </c>
      <c r="C204" s="564">
        <v>41.5</v>
      </c>
      <c r="D204" s="565">
        <f t="shared" si="12"/>
        <v>0.023971542716026306</v>
      </c>
      <c r="E204" s="565">
        <v>0.023971542716026306</v>
      </c>
      <c r="F204" s="566">
        <v>2004</v>
      </c>
      <c r="G204" s="3" t="s">
        <v>757</v>
      </c>
    </row>
    <row r="205" spans="1:6" ht="12.75">
      <c r="A205" s="563" t="s">
        <v>748</v>
      </c>
      <c r="B205" s="563"/>
      <c r="C205" s="566">
        <v>100</v>
      </c>
      <c r="D205" s="565">
        <f>B209</f>
        <v>0.7357858805095449</v>
      </c>
      <c r="E205" s="565"/>
      <c r="F205" s="566"/>
    </row>
    <row r="206" spans="1:6" ht="12.75">
      <c r="A206" s="563" t="s">
        <v>747</v>
      </c>
      <c r="B206" s="563"/>
      <c r="C206" s="578">
        <f>B212</f>
        <v>68</v>
      </c>
      <c r="D206" s="571">
        <f>B210</f>
        <v>0.23139013240813858</v>
      </c>
      <c r="E206" s="565"/>
      <c r="F206" s="566"/>
    </row>
    <row r="207" spans="1:6" ht="12.75">
      <c r="A207" s="282"/>
      <c r="B207" s="282"/>
      <c r="C207" s="535"/>
      <c r="D207" s="534"/>
      <c r="E207" s="534"/>
      <c r="F207" s="533"/>
    </row>
    <row r="208" spans="1:6" ht="12.75">
      <c r="A208" s="550" t="s">
        <v>883</v>
      </c>
      <c r="B208" s="552"/>
      <c r="C208" s="535"/>
      <c r="D208" s="534"/>
      <c r="E208" s="534"/>
      <c r="F208" s="533"/>
    </row>
    <row r="209" spans="1:6" ht="25.5">
      <c r="A209" s="577" t="s">
        <v>750</v>
      </c>
      <c r="B209" s="543">
        <v>0.7357858805095449</v>
      </c>
      <c r="C209" s="535"/>
      <c r="D209" s="534"/>
      <c r="E209" s="534"/>
      <c r="F209" s="533"/>
    </row>
    <row r="210" spans="1:6" ht="25.5">
      <c r="A210" s="549" t="s">
        <v>756</v>
      </c>
      <c r="B210" s="543">
        <v>0.23139013240813858</v>
      </c>
      <c r="C210" s="535"/>
      <c r="D210" s="534"/>
      <c r="E210" s="534"/>
      <c r="F210" s="533"/>
    </row>
    <row r="211" spans="1:6" ht="12.75">
      <c r="A211" s="549" t="s">
        <v>751</v>
      </c>
      <c r="B211" s="543">
        <v>0.01691993847489357</v>
      </c>
      <c r="C211" s="535"/>
      <c r="D211" s="534"/>
      <c r="E211" s="534"/>
      <c r="F211" s="533"/>
    </row>
    <row r="212" spans="1:6" ht="25.5">
      <c r="A212" s="549" t="s">
        <v>860</v>
      </c>
      <c r="B212" s="576">
        <v>68</v>
      </c>
      <c r="C212" s="535"/>
      <c r="D212" s="534"/>
      <c r="E212" s="534"/>
      <c r="F212" s="533"/>
    </row>
    <row r="213" spans="1:6" ht="12.75">
      <c r="A213" s="559"/>
      <c r="B213" s="36"/>
      <c r="D213" s="3"/>
      <c r="E213" s="3"/>
      <c r="F213" s="3"/>
    </row>
    <row r="214" ht="12.75">
      <c r="A214" s="559" t="s">
        <v>56</v>
      </c>
    </row>
    <row r="215" spans="1:2" ht="12.75">
      <c r="A215" s="559" t="s">
        <v>834</v>
      </c>
      <c r="B215" s="36"/>
    </row>
    <row r="216" spans="1:2" ht="12.75">
      <c r="A216" s="559" t="s">
        <v>741</v>
      </c>
      <c r="B216" s="36"/>
    </row>
    <row r="217" spans="1:2" ht="12.75">
      <c r="A217" s="559" t="s">
        <v>754</v>
      </c>
      <c r="B217" s="36"/>
    </row>
    <row r="218" ht="12.75">
      <c r="A218" s="560" t="s">
        <v>835</v>
      </c>
    </row>
    <row r="219" ht="12.75">
      <c r="A219" s="559" t="s">
        <v>836</v>
      </c>
    </row>
    <row r="220" ht="12.75">
      <c r="A220" s="560" t="s">
        <v>837</v>
      </c>
    </row>
    <row r="221" ht="12.75">
      <c r="A221" s="559" t="s">
        <v>838</v>
      </c>
    </row>
    <row r="222" ht="12.75">
      <c r="A222" s="560" t="s">
        <v>839</v>
      </c>
    </row>
    <row r="223" ht="12.75">
      <c r="A223" s="559" t="s">
        <v>752</v>
      </c>
    </row>
    <row r="224" ht="12.75">
      <c r="A224" s="561" t="s">
        <v>840</v>
      </c>
    </row>
    <row r="225" ht="12.75">
      <c r="A225" s="560" t="s">
        <v>841</v>
      </c>
    </row>
    <row r="226" ht="12.75">
      <c r="A226" s="561" t="s">
        <v>842</v>
      </c>
    </row>
    <row r="227" ht="12.75">
      <c r="A227" s="560" t="s">
        <v>843</v>
      </c>
    </row>
    <row r="228" ht="12.75">
      <c r="A228" s="561" t="s">
        <v>844</v>
      </c>
    </row>
    <row r="229" ht="12.75">
      <c r="A229" s="561" t="s">
        <v>845</v>
      </c>
    </row>
    <row r="230" ht="12.75">
      <c r="A230" s="560" t="s">
        <v>846</v>
      </c>
    </row>
    <row r="231" ht="12.75">
      <c r="A231" s="561" t="s">
        <v>847</v>
      </c>
    </row>
    <row r="232" ht="12.75">
      <c r="A232" s="560" t="s">
        <v>848</v>
      </c>
    </row>
    <row r="233" ht="12.75">
      <c r="A233" s="557" t="s">
        <v>853</v>
      </c>
    </row>
    <row r="234" ht="12.75">
      <c r="A234" s="557" t="s">
        <v>855</v>
      </c>
    </row>
    <row r="235" ht="12.75">
      <c r="A235" s="557" t="s">
        <v>858</v>
      </c>
    </row>
    <row r="236" ht="12.75">
      <c r="A236" s="557" t="s">
        <v>863</v>
      </c>
    </row>
    <row r="237" ht="12.75">
      <c r="A237" s="557" t="s">
        <v>866</v>
      </c>
    </row>
  </sheetData>
  <sheetProtection password="83AF" sheet="1"/>
  <hyperlinks>
    <hyperlink ref="A227" r:id="rId1" display="http://datamarket.com/data/set/1459/household-electrification-rate-of-households#!display=line&amp;ds=1459!g6f=6.12.15.n.g"/>
    <hyperlink ref="A225" r:id="rId2" display="http://www.reeep.org/file_upload/296_tmpphpW16ncV.pdf"/>
    <hyperlink ref="A230" r:id="rId3" display="http://www.reegle.info/countries"/>
    <hyperlink ref="A232" r:id="rId4" display="http://www.ngdc.noaa.gov/dmsp/pubs/Elvidge_WINTD_20091022.pdf"/>
    <hyperlink ref="A222" r:id="rId5" display="http://data.un.org/Data.aspx?d=POP&amp;f=tableCode%3a1"/>
    <hyperlink ref="A220" r:id="rId6" display="http://www.worldenergyoutlook.org/resources/energydevelopment/accesstoelectricity/"/>
    <hyperlink ref="A218" r:id="rId7" display="http://www.who.int/whr/2006/annex/en/index.html"/>
  </hyperlinks>
  <printOptions/>
  <pageMargins left="0.7" right="0.7" top="0.75" bottom="0.75" header="0.3" footer="0.3"/>
  <pageSetup horizontalDpi="600" verticalDpi="600" orientation="portrait" paperSize="9" r:id="rId8"/>
</worksheet>
</file>

<file path=xl/worksheets/sheet13.xml><?xml version="1.0" encoding="utf-8"?>
<worksheet xmlns="http://schemas.openxmlformats.org/spreadsheetml/2006/main" xmlns:r="http://schemas.openxmlformats.org/officeDocument/2006/relationships">
  <sheetPr>
    <pageSetUpPr fitToPage="1"/>
  </sheetPr>
  <dimension ref="A1:N10"/>
  <sheetViews>
    <sheetView zoomScalePageLayoutView="0" workbookViewId="0" topLeftCell="A1">
      <selection activeCell="L28" sqref="L28"/>
    </sheetView>
  </sheetViews>
  <sheetFormatPr defaultColWidth="9.140625" defaultRowHeight="12.75"/>
  <cols>
    <col min="1" max="1" width="39.00390625" style="346" customWidth="1"/>
    <col min="2" max="2" width="8.8515625" style="367" customWidth="1"/>
    <col min="3" max="3" width="11.7109375" style="346" customWidth="1"/>
    <col min="4" max="4" width="17.421875" style="346" customWidth="1"/>
    <col min="5" max="5" width="12.57421875" style="346" customWidth="1"/>
    <col min="6" max="8" width="9.140625" style="346" customWidth="1"/>
    <col min="9" max="9" width="11.00390625" style="346" customWidth="1"/>
    <col min="10" max="10" width="9.140625" style="346" customWidth="1"/>
    <col min="11" max="11" width="16.140625" style="346" customWidth="1"/>
    <col min="12" max="12" width="12.140625" style="346" customWidth="1"/>
    <col min="13" max="13" width="9.140625" style="346" customWidth="1"/>
    <col min="14" max="14" width="0" style="346" hidden="1" customWidth="1"/>
    <col min="15" max="16384" width="9.140625" style="346" customWidth="1"/>
  </cols>
  <sheetData>
    <row r="1" spans="1:2" ht="12.75">
      <c r="A1" s="363" t="s">
        <v>1037</v>
      </c>
      <c r="B1" s="364"/>
    </row>
    <row r="2" spans="1:12" ht="30" customHeight="1">
      <c r="A2" s="690">
        <f>IF(ISNA(MATCH("n",N5:N6,0)),"","
The Estimated Hg input (or equivalent inserted IL2 results) marked in red colour is very high compared to previous observations. Data may be correct, but please confirm your activity rate data (or inserted IL2 data).")</f>
      </c>
      <c r="B2" s="691"/>
      <c r="C2" s="691"/>
      <c r="D2" s="691"/>
      <c r="E2" s="691"/>
      <c r="F2" s="691"/>
      <c r="G2" s="691"/>
      <c r="H2" s="691"/>
      <c r="I2" s="691"/>
      <c r="J2" s="691"/>
      <c r="K2" s="691"/>
      <c r="L2" s="692"/>
    </row>
    <row r="3" spans="1:12" s="368" customFormat="1" ht="38.25">
      <c r="A3" s="266" t="s">
        <v>323</v>
      </c>
      <c r="B3" s="267" t="s">
        <v>381</v>
      </c>
      <c r="C3" s="272" t="s">
        <v>518</v>
      </c>
      <c r="D3" s="266"/>
      <c r="E3" s="268" t="s">
        <v>373</v>
      </c>
      <c r="F3" s="687" t="s">
        <v>379</v>
      </c>
      <c r="G3" s="688"/>
      <c r="H3" s="688"/>
      <c r="I3" s="688"/>
      <c r="J3" s="688"/>
      <c r="K3" s="689"/>
      <c r="L3" s="266"/>
    </row>
    <row r="4" spans="1:13" ht="39" thickBot="1">
      <c r="A4" s="269" t="s">
        <v>463</v>
      </c>
      <c r="B4" s="270" t="str">
        <f>quest</f>
        <v>Y/N/?</v>
      </c>
      <c r="C4" s="271" t="s">
        <v>432</v>
      </c>
      <c r="D4" s="272" t="s">
        <v>35</v>
      </c>
      <c r="E4" s="267" t="s">
        <v>378</v>
      </c>
      <c r="F4" s="273" t="s">
        <v>38</v>
      </c>
      <c r="G4" s="273" t="s">
        <v>39</v>
      </c>
      <c r="H4" s="273" t="s">
        <v>40</v>
      </c>
      <c r="I4" s="460" t="s">
        <v>521</v>
      </c>
      <c r="J4" s="267" t="s">
        <v>42</v>
      </c>
      <c r="K4" s="267" t="s">
        <v>380</v>
      </c>
      <c r="L4" s="266" t="s">
        <v>372</v>
      </c>
      <c r="M4" s="329" t="s">
        <v>56</v>
      </c>
    </row>
    <row r="5" spans="1:14" ht="12.75">
      <c r="A5" s="274" t="s">
        <v>314</v>
      </c>
      <c r="B5" s="374"/>
      <c r="C5" s="387"/>
      <c r="D5" s="355" t="s">
        <v>1022</v>
      </c>
      <c r="E5" s="488" t="str">
        <f>IF(OR($B5=yes,$B5=yes),'5-10 Cremat and cem'!K6,IF(OR($B5=no,$B5=no),"-",IF($B5=que,que,pres)))</f>
        <v>Present?</v>
      </c>
      <c r="F5" s="284" t="str">
        <f>IF(OR($B5=yes,$B5=yes),'5-10 Cremat and cem'!V6,IF(OR($B5=no,$B5=no),"-",IF($B5=que,que,pres)))</f>
        <v>Present?</v>
      </c>
      <c r="G5" s="284" t="str">
        <f>IF(OR($B5=yes,$B5=yes),'5-10 Cremat and cem'!W6,IF(OR($B5=no,$B5=no),"-",IF($B5=que,que,pres)))</f>
        <v>Present?</v>
      </c>
      <c r="H5" s="284" t="str">
        <f>IF(OR($B5=yes,$B5=yes),'5-10 Cremat and cem'!X6,IF(OR($B5=no,$B5=no),"-",IF($B5=que,que,pres)))</f>
        <v>Present?</v>
      </c>
      <c r="I5" s="284" t="str">
        <f>IF(OR($B5=yes,$B5=yes),'5-10 Cremat and cem'!Y6,IF(OR($B5=no,$B5=no),"-",IF($B5=que,que,pres)))</f>
        <v>Present?</v>
      </c>
      <c r="J5" s="284" t="str">
        <f>IF(OR($B5=yes,$B5=yes),'5-10 Cremat and cem'!Z6,IF(OR($B5=no,$B5=no),"-",IF($B5=que,que,pres)))</f>
        <v>Present?</v>
      </c>
      <c r="K5" s="284" t="str">
        <f>IF(OR($B5=yes,$B5=yes),'5-10 Cremat and cem'!AA6,IF(OR($B5=no,$B5=no),"-",IF($B5=que,que,pres)))</f>
        <v>Present?</v>
      </c>
      <c r="L5" s="277" t="s">
        <v>320</v>
      </c>
      <c r="M5" s="492"/>
      <c r="N5" s="346">
        <f>INDEX('Range-thresholds'!$G$6:$G$72,MATCH(A5,'Range-thresholds'!$A$6:$A$72,0))</f>
      </c>
    </row>
    <row r="6" spans="1:14" ht="13.5" thickBot="1">
      <c r="A6" s="274" t="s">
        <v>449</v>
      </c>
      <c r="B6" s="375"/>
      <c r="C6" s="416"/>
      <c r="D6" s="355" t="s">
        <v>1023</v>
      </c>
      <c r="E6" s="488" t="str">
        <f>IF(OR($B6=yes,$B6=yes),'5-10 Cremat and cem'!K8,IF(OR($B6=no,$B6=no),"-",IF($B6=que,que,pres)))</f>
        <v>Present?</v>
      </c>
      <c r="F6" s="284" t="str">
        <f>IF(OR($B6=yes,$B6=yes),'5-10 Cremat and cem'!V8,IF(OR($B6=no,$B6=no),"-",IF($B6=que,que,pres)))</f>
        <v>Present?</v>
      </c>
      <c r="G6" s="284" t="str">
        <f>IF(OR($B6=yes,$B6=yes),'5-10 Cremat and cem'!W8,IF(OR($B6=no,$B6=no),"-",IF($B6=que,que,pres)))</f>
        <v>Present?</v>
      </c>
      <c r="H6" s="284" t="str">
        <f>IF(OR($B6=yes,$B6=yes),'5-10 Cremat and cem'!X8,IF(OR($B6=no,$B6=no),"-",IF($B6=que,que,pres)))</f>
        <v>Present?</v>
      </c>
      <c r="I6" s="284" t="str">
        <f>IF(OR($B6=yes,$B6=yes),'5-10 Cremat and cem'!Y8,IF(OR($B6=no,$B6=no),"-",IF($B6=que,que,pres)))</f>
        <v>Present?</v>
      </c>
      <c r="J6" s="284" t="str">
        <f>IF(OR($B6=yes,$B6=yes),'5-10 Cremat and cem'!Z8,IF(OR($B6=no,$B6=no),"-",IF($B6=que,que,pres)))</f>
        <v>Present?</v>
      </c>
      <c r="K6" s="284" t="str">
        <f>IF(OR($B6=yes,$B6=yes),'5-10 Cremat and cem'!AA8,IF(OR($B6=no,$B6=no),"-",IF($B6=que,que,pres)))</f>
        <v>Present?</v>
      </c>
      <c r="L6" s="277" t="s">
        <v>321</v>
      </c>
      <c r="M6" s="492"/>
      <c r="N6" s="346">
        <f>INDEX('Range-thresholds'!$G$6:$G$72,MATCH(A6,'Range-thresholds'!$A$6:$A$72,0))</f>
      </c>
    </row>
    <row r="9" ht="12.75">
      <c r="A9" s="683" t="s">
        <v>983</v>
      </c>
    </row>
    <row r="10" ht="12.75">
      <c r="A10" s="683" t="s">
        <v>984</v>
      </c>
    </row>
  </sheetData>
  <sheetProtection password="83AF" sheet="1"/>
  <mergeCells count="2">
    <mergeCell ref="F3:K3"/>
    <mergeCell ref="A2:L2"/>
  </mergeCells>
  <conditionalFormatting sqref="E5:E6">
    <cfRule type="expression" priority="2" dxfId="0" stopIfTrue="1">
      <formula>AND(B5="y",N5="n")</formula>
    </cfRule>
  </conditionalFormatting>
  <conditionalFormatting sqref="A2">
    <cfRule type="expression" priority="1" dxfId="0" stopIfTrue="1">
      <formula>$A$2&lt;&gt;""</formula>
    </cfRule>
  </conditionalFormatting>
  <dataValidations count="2">
    <dataValidation type="decimal" allowBlank="1" showInputMessage="1" showErrorMessage="1" promptTitle="Input cell" prompt="Use digits and decimal mark only." errorTitle="Input error" error="Use digits and decimal mark only." sqref="C5:C6">
      <formula1>-99999999999999900000000</formula1>
      <formula2>9.99999999999999E+22</formula2>
    </dataValidation>
    <dataValidation type="list" allowBlank="1" showInputMessage="1" showErrorMessage="1" errorTitle="Input error" error="Enter only y, n or ? (or translation of these)" sqref="B5:B6">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85" r:id="rId1"/>
  <headerFooter>
    <oddFooter>&amp;L&amp;A
Printed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A11" sqref="A11"/>
    </sheetView>
  </sheetViews>
  <sheetFormatPr defaultColWidth="9.140625" defaultRowHeight="12.75"/>
  <cols>
    <col min="1" max="1" width="66.8515625" style="346" customWidth="1"/>
    <col min="2" max="2" width="8.8515625" style="367" customWidth="1"/>
    <col min="3" max="16384" width="9.140625" style="346" customWidth="1"/>
  </cols>
  <sheetData>
    <row r="1" spans="1:3" ht="12.75">
      <c r="A1" s="405" t="s">
        <v>450</v>
      </c>
      <c r="B1" s="407"/>
      <c r="C1" s="378"/>
    </row>
    <row r="2" spans="1:4" s="368" customFormat="1" ht="38.25" customHeight="1">
      <c r="A2" s="266" t="s">
        <v>323</v>
      </c>
      <c r="B2" s="506" t="s">
        <v>381</v>
      </c>
      <c r="C2" s="454"/>
      <c r="D2" s="496" t="s">
        <v>56</v>
      </c>
    </row>
    <row r="3" spans="1:4" ht="13.5" thickBot="1">
      <c r="A3" s="269"/>
      <c r="B3" s="270" t="str">
        <f>quest</f>
        <v>Y/N/?</v>
      </c>
      <c r="C3" s="453"/>
      <c r="D3" s="492"/>
    </row>
    <row r="4" spans="1:4" ht="12.75">
      <c r="A4" s="279" t="s">
        <v>515</v>
      </c>
      <c r="B4" s="527"/>
      <c r="C4" s="453"/>
      <c r="D4" s="492"/>
    </row>
    <row r="5" spans="1:4" ht="12.75">
      <c r="A5" s="274" t="s">
        <v>87</v>
      </c>
      <c r="B5" s="528"/>
      <c r="C5" s="453"/>
      <c r="D5" s="492"/>
    </row>
    <row r="6" spans="1:4" ht="12.75">
      <c r="A6" s="274" t="s">
        <v>85</v>
      </c>
      <c r="B6" s="528"/>
      <c r="C6" s="453"/>
      <c r="D6" s="492"/>
    </row>
    <row r="7" spans="1:4" ht="12.75">
      <c r="A7" s="274" t="s">
        <v>288</v>
      </c>
      <c r="B7" s="528"/>
      <c r="C7" s="453"/>
      <c r="D7" s="492"/>
    </row>
    <row r="8" spans="1:4" ht="12.75">
      <c r="A8" s="274" t="s">
        <v>539</v>
      </c>
      <c r="B8" s="528"/>
      <c r="C8" s="453"/>
      <c r="D8" s="492"/>
    </row>
    <row r="9" spans="1:4" ht="12.75">
      <c r="A9" s="274" t="s">
        <v>540</v>
      </c>
      <c r="B9" s="528"/>
      <c r="C9" s="453"/>
      <c r="D9" s="497"/>
    </row>
    <row r="10" spans="1:4" ht="25.5">
      <c r="A10" s="279" t="s">
        <v>621</v>
      </c>
      <c r="B10" s="528"/>
      <c r="C10" s="453"/>
      <c r="D10" s="492"/>
    </row>
    <row r="11" spans="1:4" ht="12.75">
      <c r="A11" s="274" t="s">
        <v>516</v>
      </c>
      <c r="B11" s="528"/>
      <c r="C11" s="453"/>
      <c r="D11" s="492"/>
    </row>
    <row r="12" spans="1:4" ht="12.75">
      <c r="A12" s="274" t="s">
        <v>410</v>
      </c>
      <c r="B12" s="528"/>
      <c r="C12" s="453"/>
      <c r="D12" s="492"/>
    </row>
    <row r="13" spans="1:4" ht="12.75">
      <c r="A13" s="274" t="s">
        <v>244</v>
      </c>
      <c r="B13" s="528"/>
      <c r="C13" s="453"/>
      <c r="D13" s="492"/>
    </row>
    <row r="14" spans="1:4" ht="12.75">
      <c r="A14" s="279" t="s">
        <v>532</v>
      </c>
      <c r="B14" s="528"/>
      <c r="C14" s="453"/>
      <c r="D14" s="492"/>
    </row>
    <row r="15" spans="1:4" ht="12.75">
      <c r="A15" s="274" t="s">
        <v>246</v>
      </c>
      <c r="B15" s="528"/>
      <c r="C15" s="453"/>
      <c r="D15" s="492"/>
    </row>
    <row r="16" spans="1:4" ht="12.75">
      <c r="A16" s="274" t="s">
        <v>247</v>
      </c>
      <c r="B16" s="528"/>
      <c r="C16" s="453"/>
      <c r="D16" s="492"/>
    </row>
    <row r="17" spans="1:4" ht="12.75">
      <c r="A17" s="274" t="s">
        <v>248</v>
      </c>
      <c r="B17" s="528"/>
      <c r="C17" s="453"/>
      <c r="D17" s="492"/>
    </row>
    <row r="18" spans="1:4" ht="12.75">
      <c r="A18" s="274" t="s">
        <v>537</v>
      </c>
      <c r="B18" s="528"/>
      <c r="C18" s="453"/>
      <c r="D18" s="492"/>
    </row>
    <row r="19" spans="1:4" ht="25.5">
      <c r="A19" s="274" t="s">
        <v>538</v>
      </c>
      <c r="B19" s="528"/>
      <c r="C19" s="453"/>
      <c r="D19" s="492"/>
    </row>
    <row r="20" spans="1:4" ht="12.75">
      <c r="A20" s="274" t="s">
        <v>249</v>
      </c>
      <c r="B20" s="528"/>
      <c r="C20" s="453"/>
      <c r="D20" s="492"/>
    </row>
    <row r="21" spans="1:4" ht="12.75">
      <c r="A21" s="279" t="s">
        <v>533</v>
      </c>
      <c r="B21" s="528"/>
      <c r="C21" s="453"/>
      <c r="D21" s="492"/>
    </row>
    <row r="22" spans="1:4" ht="25.5">
      <c r="A22" s="274" t="s">
        <v>251</v>
      </c>
      <c r="B22" s="528"/>
      <c r="C22" s="453"/>
      <c r="D22" s="492"/>
    </row>
    <row r="23" spans="1:4" ht="12.75">
      <c r="A23" s="274" t="s">
        <v>252</v>
      </c>
      <c r="B23" s="528"/>
      <c r="C23" s="453"/>
      <c r="D23" s="492"/>
    </row>
    <row r="24" spans="1:4" ht="12.75">
      <c r="A24" s="274" t="s">
        <v>253</v>
      </c>
      <c r="B24" s="528"/>
      <c r="C24" s="453"/>
      <c r="D24" s="492"/>
    </row>
    <row r="25" spans="1:4" ht="12.75">
      <c r="A25" s="274" t="s">
        <v>517</v>
      </c>
      <c r="B25" s="528"/>
      <c r="C25" s="453"/>
      <c r="D25" s="492"/>
    </row>
    <row r="26" spans="1:4" ht="12.75">
      <c r="A26" s="274" t="s">
        <v>255</v>
      </c>
      <c r="B26" s="528"/>
      <c r="C26" s="453"/>
      <c r="D26" s="492"/>
    </row>
    <row r="27" spans="1:4" ht="12.75">
      <c r="A27" s="274" t="s">
        <v>256</v>
      </c>
      <c r="B27" s="528"/>
      <c r="C27" s="453"/>
      <c r="D27" s="492"/>
    </row>
    <row r="28" spans="1:4" ht="12.75">
      <c r="A28" s="274" t="s">
        <v>257</v>
      </c>
      <c r="B28" s="528"/>
      <c r="C28" s="453"/>
      <c r="D28" s="492"/>
    </row>
    <row r="29" spans="1:4" ht="12.75">
      <c r="A29" s="274" t="s">
        <v>258</v>
      </c>
      <c r="B29" s="528"/>
      <c r="C29" s="453"/>
      <c r="D29" s="492"/>
    </row>
    <row r="30" spans="1:4" ht="13.5" thickBot="1">
      <c r="A30" s="274" t="s">
        <v>259</v>
      </c>
      <c r="B30" s="529"/>
      <c r="C30" s="453"/>
      <c r="D30" s="492"/>
    </row>
    <row r="31" spans="1:3" ht="12.75">
      <c r="A31" s="525"/>
      <c r="B31" s="526"/>
      <c r="C31" s="362"/>
    </row>
  </sheetData>
  <sheetProtection password="83AF" sheet="1"/>
  <printOptions/>
  <pageMargins left="0.3937007874015748" right="0.3937007874015748" top="0.7480314960629921" bottom="0.7480314960629921" header="0.31496062992125984" footer="0.31496062992125984"/>
  <pageSetup fitToHeight="1" fitToWidth="1" horizontalDpi="600" verticalDpi="600" orientation="portrait" paperSize="9" r:id="rId1"/>
  <headerFooter>
    <oddFooter>&amp;L&amp;A
Printed &amp;D</oddFooter>
  </headerFooter>
</worksheet>
</file>

<file path=xl/worksheets/sheet15.xml><?xml version="1.0" encoding="utf-8"?>
<worksheet xmlns="http://schemas.openxmlformats.org/spreadsheetml/2006/main" xmlns:r="http://schemas.openxmlformats.org/officeDocument/2006/relationships">
  <dimension ref="A1:G72"/>
  <sheetViews>
    <sheetView zoomScalePageLayoutView="0" workbookViewId="0" topLeftCell="A1">
      <selection activeCell="A25" sqref="A25"/>
    </sheetView>
  </sheetViews>
  <sheetFormatPr defaultColWidth="9.140625" defaultRowHeight="12.75"/>
  <cols>
    <col min="1" max="1" width="50.140625" style="0" customWidth="1"/>
    <col min="2" max="3" width="15.7109375" style="0" customWidth="1"/>
    <col min="4" max="4" width="15.8515625" style="0" customWidth="1"/>
    <col min="5" max="5" width="19.00390625" style="0" customWidth="1"/>
    <col min="6" max="6" width="15.8515625" style="0" customWidth="1"/>
  </cols>
  <sheetData>
    <row r="1" spans="1:5" ht="60">
      <c r="A1" s="363" t="s">
        <v>526</v>
      </c>
      <c r="B1" s="12" t="s">
        <v>965</v>
      </c>
      <c r="C1" s="12" t="s">
        <v>969</v>
      </c>
      <c r="D1" s="675" t="s">
        <v>974</v>
      </c>
      <c r="E1" s="12" t="s">
        <v>966</v>
      </c>
    </row>
    <row r="2" spans="1:5" ht="25.5">
      <c r="A2" s="480" t="s">
        <v>323</v>
      </c>
      <c r="B2" s="12"/>
      <c r="C2" s="12" t="s">
        <v>970</v>
      </c>
      <c r="D2" s="677"/>
      <c r="E2" s="53" t="s">
        <v>967</v>
      </c>
    </row>
    <row r="3" spans="1:5" ht="15">
      <c r="A3" s="480"/>
      <c r="B3" s="12"/>
      <c r="C3" s="53">
        <v>10</v>
      </c>
      <c r="D3" s="677"/>
      <c r="E3" s="9"/>
    </row>
    <row r="4" spans="1:7" ht="63.75">
      <c r="A4" s="58"/>
      <c r="B4" s="12" t="s">
        <v>873</v>
      </c>
      <c r="C4" s="630" t="s">
        <v>973</v>
      </c>
      <c r="D4" s="12" t="s">
        <v>975</v>
      </c>
      <c r="E4" s="12" t="s">
        <v>968</v>
      </c>
      <c r="F4" s="93" t="s">
        <v>976</v>
      </c>
      <c r="G4" s="93" t="s">
        <v>977</v>
      </c>
    </row>
    <row r="5" spans="1:4" ht="12.75">
      <c r="A5" s="408" t="str">
        <f>'Step2-Energy'!A4</f>
        <v>Energy consumption</v>
      </c>
      <c r="D5" s="676"/>
    </row>
    <row r="6" spans="1:7" ht="12.75">
      <c r="A6" s="480" t="str">
        <f>'Step2-Energy'!A5</f>
        <v>Coal combustion in large power plants</v>
      </c>
      <c r="B6">
        <v>0.0006722716821338093</v>
      </c>
      <c r="C6">
        <f>$C$3</f>
        <v>10</v>
      </c>
      <c r="D6" s="674">
        <f aca="true" t="shared" si="0" ref="D6:D33">IF(ISNUMBER(B6),B6*C6,"SKIP")</f>
        <v>0.006722716821338093</v>
      </c>
      <c r="E6" s="678">
        <f>IF(ISNUMBER(D6),D6*'Step1-Country data'!$B$6,"SKIP")</f>
        <v>0</v>
      </c>
      <c r="F6" s="682" t="str">
        <f>IF('Level 1-summary of Hg inputs'!E5="","",'Level 1-summary of Hg inputs'!E5)</f>
        <v>Present?</v>
      </c>
      <c r="G6">
        <f>IF(ISNUMBER(F6),IF(F6&lt;E6,"y","n"),"")</f>
      </c>
    </row>
    <row r="7" spans="1:7" ht="12.75">
      <c r="A7" s="480" t="str">
        <f>'Step2-Energy'!A6</f>
        <v>Other coal uses</v>
      </c>
      <c r="B7">
        <v>0.00022364446616113013</v>
      </c>
      <c r="C7" s="322">
        <v>20</v>
      </c>
      <c r="D7" s="674">
        <f t="shared" si="0"/>
        <v>0.004472889323222602</v>
      </c>
      <c r="E7" s="678">
        <f>IF(ISNUMBER(D7),D7*'Step1-Country data'!$B$6,"SKIP")</f>
        <v>0</v>
      </c>
      <c r="F7" s="682" t="str">
        <f>IF('Level 1-summary of Hg inputs'!E6="","",'Level 1-summary of Hg inputs'!E6)</f>
        <v>Present?</v>
      </c>
      <c r="G7">
        <f aca="true" t="shared" si="1" ref="G7:G70">IF(ISNUMBER(F7),IF(F7&lt;E7,"y","n"),"")</f>
      </c>
    </row>
    <row r="8" spans="1:7" ht="12.75">
      <c r="A8" s="480" t="str">
        <f>'Step2-Energy'!A7</f>
        <v>Combustion/use of petroleum coke and heavy oil</v>
      </c>
      <c r="B8">
        <v>0.00010032298136645963</v>
      </c>
      <c r="C8">
        <f aca="true" t="shared" si="2" ref="C8:C70">$C$3</f>
        <v>10</v>
      </c>
      <c r="D8" s="674">
        <f t="shared" si="0"/>
        <v>0.0010032298136645962</v>
      </c>
      <c r="E8" s="678">
        <f>IF(ISNUMBER(D8),D8*'Step1-Country data'!$B$6,"SKIP")</f>
        <v>0</v>
      </c>
      <c r="F8" s="682" t="str">
        <f>IF('Level 1-summary of Hg inputs'!E7="","",'Level 1-summary of Hg inputs'!E7)</f>
        <v>Present?</v>
      </c>
      <c r="G8">
        <f t="shared" si="1"/>
      </c>
    </row>
    <row r="9" spans="1:7" ht="25.5">
      <c r="A9" s="480" t="str">
        <f>'Step2-Energy'!A8</f>
        <v>Combustion/use of diesel, gasoil, petroleum, kerosene</v>
      </c>
      <c r="B9">
        <v>1.6173158415841584E-05</v>
      </c>
      <c r="C9">
        <f t="shared" si="2"/>
        <v>10</v>
      </c>
      <c r="D9" s="674">
        <f t="shared" si="0"/>
        <v>0.00016173158415841584</v>
      </c>
      <c r="E9" s="678">
        <f>IF(ISNUMBER(D9),D9*'Step1-Country data'!$B$6,"SKIP")</f>
        <v>0</v>
      </c>
      <c r="F9" s="682" t="str">
        <f>IF('Level 1-summary of Hg inputs'!E8="","",'Level 1-summary of Hg inputs'!E8)</f>
        <v>Present?</v>
      </c>
      <c r="G9">
        <f t="shared" si="1"/>
      </c>
    </row>
    <row r="10" spans="1:7" ht="12.75">
      <c r="A10" s="480" t="str">
        <f>'Step2-Energy'!A9</f>
        <v>Use of raw or pre-cleaned natural gas</v>
      </c>
      <c r="B10">
        <v>3.73167701863354E-05</v>
      </c>
      <c r="C10">
        <f t="shared" si="2"/>
        <v>10</v>
      </c>
      <c r="D10" s="674">
        <f t="shared" si="0"/>
        <v>0.00037316770186335404</v>
      </c>
      <c r="E10" s="678">
        <f>IF(ISNUMBER(D10),D10*'Step1-Country data'!$B$6,"SKIP")</f>
        <v>0</v>
      </c>
      <c r="F10" s="682" t="str">
        <f>IF('Level 1-summary of Hg inputs'!E9="","",'Level 1-summary of Hg inputs'!E9)</f>
        <v>Present?</v>
      </c>
      <c r="G10">
        <f t="shared" si="1"/>
      </c>
    </row>
    <row r="11" spans="1:7" ht="12.75">
      <c r="A11" s="480" t="str">
        <f>'Step2-Energy'!A10</f>
        <v>Use of pipeline gas (consumer quality)</v>
      </c>
      <c r="B11">
        <v>3.066424807808586E-06</v>
      </c>
      <c r="C11" s="322">
        <v>100</v>
      </c>
      <c r="D11" s="674">
        <f t="shared" si="0"/>
        <v>0.0003066424807808586</v>
      </c>
      <c r="E11" s="678">
        <f>IF(ISNUMBER(D11),D11*'Step1-Country data'!$B$6,"SKIP")</f>
        <v>0</v>
      </c>
      <c r="F11" s="682" t="str">
        <f>IF('Level 1-summary of Hg inputs'!E10="","",'Level 1-summary of Hg inputs'!E10)</f>
        <v>Present?</v>
      </c>
      <c r="G11">
        <f t="shared" si="1"/>
      </c>
    </row>
    <row r="12" spans="1:7" ht="12.75">
      <c r="A12" s="480" t="str">
        <f>'Step2-Energy'!A11</f>
        <v>Biomass fired power and heat production</v>
      </c>
      <c r="B12">
        <v>2.1352177849016704E-05</v>
      </c>
      <c r="C12">
        <f t="shared" si="2"/>
        <v>10</v>
      </c>
      <c r="D12" s="674">
        <f t="shared" si="0"/>
        <v>0.00021352177849016704</v>
      </c>
      <c r="E12" s="678">
        <f>IF(ISNUMBER(D12),D12*'Step1-Country data'!$B$6,"SKIP")</f>
        <v>0</v>
      </c>
      <c r="F12" s="682" t="str">
        <f>IF('Level 1-summary of Hg inputs'!E11="","",'Level 1-summary of Hg inputs'!E11)</f>
        <v>Present?</v>
      </c>
      <c r="G12">
        <f t="shared" si="1"/>
      </c>
    </row>
    <row r="13" spans="1:7" ht="12.75">
      <c r="A13" s="480" t="str">
        <f>'Step2-Energy'!A12</f>
        <v>Charcoal combustion</v>
      </c>
      <c r="B13">
        <v>2.6555239118131514E-05</v>
      </c>
      <c r="C13">
        <f t="shared" si="2"/>
        <v>10</v>
      </c>
      <c r="D13" s="674">
        <f t="shared" si="0"/>
        <v>0.00026555239118131516</v>
      </c>
      <c r="E13" s="678">
        <f>IF(ISNUMBER(D13),D13*'Step1-Country data'!$B$6,"SKIP")</f>
        <v>0</v>
      </c>
      <c r="F13" s="682" t="str">
        <f>IF('Level 1-summary of Hg inputs'!E12="","",'Level 1-summary of Hg inputs'!E12)</f>
        <v>Present?</v>
      </c>
      <c r="G13">
        <f t="shared" si="1"/>
      </c>
    </row>
    <row r="14" spans="1:7" ht="12.75">
      <c r="A14" s="408" t="str">
        <f>'Step2-Energy'!A14</f>
        <v>Fuel production</v>
      </c>
      <c r="B14">
        <v>0</v>
      </c>
      <c r="C14">
        <f t="shared" si="2"/>
        <v>10</v>
      </c>
      <c r="D14" s="674">
        <f t="shared" si="0"/>
        <v>0</v>
      </c>
      <c r="E14" s="678">
        <f>IF(ISNUMBER(D14),D14*'Step1-Country data'!$B$6,"SKIP")</f>
        <v>0</v>
      </c>
      <c r="F14" s="682">
        <f>IF('Level 1-summary of Hg inputs'!E13="","",'Level 1-summary of Hg inputs'!E13)</f>
      </c>
      <c r="G14">
        <f t="shared" si="1"/>
      </c>
    </row>
    <row r="15" spans="1:7" ht="12.75">
      <c r="A15" s="480" t="str">
        <f>'Step2-Energy'!A15</f>
        <v>Oil extraction</v>
      </c>
      <c r="B15">
        <v>0.0005112380952380952</v>
      </c>
      <c r="C15">
        <f t="shared" si="2"/>
        <v>10</v>
      </c>
      <c r="D15" s="674">
        <f t="shared" si="0"/>
        <v>0.005112380952380952</v>
      </c>
      <c r="E15" s="678">
        <f>IF(ISNUMBER(D15),D15*'Step1-Country data'!$B$6,"SKIP")</f>
        <v>0</v>
      </c>
      <c r="F15" s="682" t="str">
        <f>IF('Level 1-summary of Hg inputs'!E14="","",'Level 1-summary of Hg inputs'!E14)</f>
        <v>Present?</v>
      </c>
      <c r="G15">
        <f t="shared" si="1"/>
      </c>
    </row>
    <row r="16" spans="1:7" ht="12.75">
      <c r="A16" s="480" t="str">
        <f>'Step2-Energy'!A16</f>
        <v>Oil refining</v>
      </c>
      <c r="B16">
        <v>0.00017505590062111802</v>
      </c>
      <c r="C16" s="322">
        <v>30</v>
      </c>
      <c r="D16" s="674">
        <f t="shared" si="0"/>
        <v>0.005251677018633541</v>
      </c>
      <c r="E16" s="678">
        <f>IF(ISNUMBER(D16),D16*'Step1-Country data'!$B$6,"SKIP")</f>
        <v>0</v>
      </c>
      <c r="F16" s="682" t="str">
        <f>IF('Level 1-summary of Hg inputs'!E15="","",'Level 1-summary of Hg inputs'!E15)</f>
        <v>Present?</v>
      </c>
      <c r="G16">
        <f t="shared" si="1"/>
      </c>
    </row>
    <row r="17" spans="1:7" ht="12.75">
      <c r="A17" s="480" t="str">
        <f>'Step2-Energy'!A17</f>
        <v>Extraction and processing of natural gas</v>
      </c>
      <c r="B17">
        <v>0.00020723809523809524</v>
      </c>
      <c r="C17">
        <f t="shared" si="2"/>
        <v>10</v>
      </c>
      <c r="D17" s="674">
        <f t="shared" si="0"/>
        <v>0.0020723809523809523</v>
      </c>
      <c r="E17" s="678">
        <f>IF(ISNUMBER(D17),D17*'Step1-Country data'!$B$6,"SKIP")</f>
        <v>0</v>
      </c>
      <c r="F17" s="682" t="str">
        <f>IF('Level 1-summary of Hg inputs'!E16="","",'Level 1-summary of Hg inputs'!E16)</f>
        <v>Present?</v>
      </c>
      <c r="G17">
        <f t="shared" si="1"/>
      </c>
    </row>
    <row r="18" spans="1:7" ht="12.75">
      <c r="A18" s="408" t="str">
        <f>'Step3-Metals-RawMat'!A5</f>
        <v>Primary metal production</v>
      </c>
      <c r="B18">
        <v>0</v>
      </c>
      <c r="C18">
        <f t="shared" si="2"/>
        <v>10</v>
      </c>
      <c r="D18" s="674">
        <f t="shared" si="0"/>
        <v>0</v>
      </c>
      <c r="E18" s="678">
        <f>IF(ISNUMBER(D18),D18*'Step1-Country data'!$B$6,"SKIP")</f>
        <v>0</v>
      </c>
      <c r="F18" s="682">
        <f>IF('Level 1-summary of Hg inputs'!E17="","",'Level 1-summary of Hg inputs'!E17)</f>
      </c>
      <c r="G18">
        <f t="shared" si="1"/>
      </c>
    </row>
    <row r="19" spans="1:7" ht="15">
      <c r="A19" s="671" t="str">
        <f>'Step3-Metals-RawMat'!A6</f>
        <v>Mercury (primary) extraction and initial processing</v>
      </c>
      <c r="B19">
        <v>0.049587833629833274</v>
      </c>
      <c r="C19">
        <f t="shared" si="2"/>
        <v>10</v>
      </c>
      <c r="D19" s="674">
        <f t="shared" si="0"/>
        <v>0.4958783362983327</v>
      </c>
      <c r="E19" s="678">
        <f>IF(ISNUMBER(D19),D19*'Step1-Country data'!$B$6,"SKIP")</f>
        <v>0</v>
      </c>
      <c r="F19" s="682" t="str">
        <f>IF('Level 1-summary of Hg inputs'!E18="","",'Level 1-summary of Hg inputs'!E18)</f>
        <v>Present?</v>
      </c>
      <c r="G19">
        <f t="shared" si="1"/>
      </c>
    </row>
    <row r="20" spans="1:7" ht="12.75">
      <c r="A20" s="480" t="str">
        <f>'Step3-Metals-RawMat'!A7</f>
        <v>Production of zinc from concentrates</v>
      </c>
      <c r="B20">
        <v>0.00047096817600753547</v>
      </c>
      <c r="C20" s="322">
        <v>200</v>
      </c>
      <c r="D20" s="674">
        <f t="shared" si="0"/>
        <v>0.0941936352015071</v>
      </c>
      <c r="E20" s="678">
        <f>IF(ISNUMBER(D20),D20*'Step1-Country data'!$B$6,"SKIP")</f>
        <v>0</v>
      </c>
      <c r="F20" s="682" t="str">
        <f>IF('Level 1-summary of Hg inputs'!E19="","",'Level 1-summary of Hg inputs'!E19)</f>
        <v>Present?</v>
      </c>
      <c r="G20">
        <f t="shared" si="1"/>
      </c>
    </row>
    <row r="21" spans="1:7" ht="12.75">
      <c r="A21" s="480" t="str">
        <f>'Step3-Metals-RawMat'!A8</f>
        <v>Production of copper from concentrates</v>
      </c>
      <c r="B21">
        <v>0.011711757298861753</v>
      </c>
      <c r="C21">
        <f t="shared" si="2"/>
        <v>10</v>
      </c>
      <c r="D21" s="674">
        <f t="shared" si="0"/>
        <v>0.11711757298861752</v>
      </c>
      <c r="E21" s="678">
        <f>IF(ISNUMBER(D21),D21*'Step1-Country data'!$B$6,"SKIP")</f>
        <v>0</v>
      </c>
      <c r="F21" s="682" t="str">
        <f>IF('Level 1-summary of Hg inputs'!E20="","",'Level 1-summary of Hg inputs'!E20)</f>
        <v>Present?</v>
      </c>
      <c r="G21">
        <f t="shared" si="1"/>
      </c>
    </row>
    <row r="22" spans="1:7" ht="12.75">
      <c r="A22" s="480" t="str">
        <f>'Step3-Metals-RawMat'!A9</f>
        <v>Production of lead from concentrates</v>
      </c>
      <c r="B22">
        <v>0.0004530265312072484</v>
      </c>
      <c r="C22" s="322">
        <v>200</v>
      </c>
      <c r="D22" s="674">
        <f t="shared" si="0"/>
        <v>0.09060530624144969</v>
      </c>
      <c r="E22" s="678">
        <f>IF(ISNUMBER(D22),D22*'Step1-Country data'!$B$6,"SKIP")</f>
        <v>0</v>
      </c>
      <c r="F22" s="682" t="str">
        <f>IF('Level 1-summary of Hg inputs'!E21="","",'Level 1-summary of Hg inputs'!E21)</f>
        <v>Present?</v>
      </c>
      <c r="G22">
        <f t="shared" si="1"/>
      </c>
    </row>
    <row r="23" spans="1:7" ht="25.5">
      <c r="A23" s="480" t="str">
        <f>'Step3-Metals-RawMat'!A10</f>
        <v>Gold extraction by methods other than mercury amalgamation</v>
      </c>
      <c r="B23">
        <v>0.1954722327662748</v>
      </c>
      <c r="C23">
        <f t="shared" si="2"/>
        <v>10</v>
      </c>
      <c r="D23" s="674">
        <f t="shared" si="0"/>
        <v>1.954722327662748</v>
      </c>
      <c r="E23" s="678">
        <f>IF(ISNUMBER(D23),D23*'Step1-Country data'!$B$6,"SKIP")</f>
        <v>0</v>
      </c>
      <c r="F23" s="682" t="str">
        <f>IF('Level 1-summary of Hg inputs'!E22="","",'Level 1-summary of Hg inputs'!E22)</f>
        <v>Present?</v>
      </c>
      <c r="G23">
        <f t="shared" si="1"/>
      </c>
    </row>
    <row r="24" spans="1:7" ht="12.75">
      <c r="A24" s="480" t="str">
        <f>'Step3-Metals-RawMat'!A11</f>
        <v>Alumina production from bauxite (aluminium production)</v>
      </c>
      <c r="B24">
        <v>1.024066800980033E-05</v>
      </c>
      <c r="C24">
        <f t="shared" si="2"/>
        <v>10</v>
      </c>
      <c r="D24" s="674">
        <f t="shared" si="0"/>
        <v>0.0001024066800980033</v>
      </c>
      <c r="E24" s="678">
        <f>IF(ISNUMBER(D24),D24*'Step1-Country data'!$B$6,"SKIP")</f>
        <v>0</v>
      </c>
      <c r="F24" s="682" t="str">
        <f>IF('Level 1-summary of Hg inputs'!E23="","",'Level 1-summary of Hg inputs'!E23)</f>
        <v>Present?</v>
      </c>
      <c r="G24">
        <f t="shared" si="1"/>
      </c>
    </row>
    <row r="25" spans="1:7" ht="12.75">
      <c r="A25" s="480" t="str">
        <f>'Step3-Metals-RawMat'!A12</f>
        <v>Primary ferrous metal production (pig iron production)</v>
      </c>
      <c r="B25">
        <v>6.670808064302211E-05</v>
      </c>
      <c r="C25">
        <f t="shared" si="2"/>
        <v>10</v>
      </c>
      <c r="D25" s="674">
        <f t="shared" si="0"/>
        <v>0.0006670808064302211</v>
      </c>
      <c r="E25" s="678">
        <f>IF(ISNUMBER(D25),D25*'Step1-Country data'!$B$6,"SKIP")</f>
        <v>0</v>
      </c>
      <c r="F25" s="682" t="str">
        <f>IF('Level 1-summary of Hg inputs'!E24="","",'Level 1-summary of Hg inputs'!E24)</f>
        <v>Present?</v>
      </c>
      <c r="G25">
        <f t="shared" si="1"/>
      </c>
    </row>
    <row r="26" spans="1:7" ht="25.5">
      <c r="A26" s="480" t="str">
        <f>'Step3-Metals-RawMat'!A13</f>
        <v>Gold extraction with mercury amalgamation - without use of retort</v>
      </c>
      <c r="B26">
        <v>0.001086147334596138</v>
      </c>
      <c r="C26">
        <f t="shared" si="2"/>
        <v>10</v>
      </c>
      <c r="D26" s="674">
        <f t="shared" si="0"/>
        <v>0.010861473345961381</v>
      </c>
      <c r="E26" s="678">
        <f>IF(ISNUMBER(D26),D26*'Step1-Country data'!$B$6,"SKIP")</f>
        <v>0</v>
      </c>
      <c r="F26" s="682" t="str">
        <f>IF('Level 1-summary of Hg inputs'!E25="","",'Level 1-summary of Hg inputs'!E25)</f>
        <v>Present?</v>
      </c>
      <c r="G26">
        <f t="shared" si="1"/>
      </c>
    </row>
    <row r="27" spans="1:7" ht="25.5">
      <c r="A27" s="480" t="str">
        <f>'Step3-Metals-RawMat'!A14</f>
        <v>Gold extraction with mercury amalgamation - with use of retorts</v>
      </c>
      <c r="B27">
        <v>6.50839232784204E-10</v>
      </c>
      <c r="C27" s="322">
        <v>1000000</v>
      </c>
      <c r="D27" s="674">
        <f t="shared" si="0"/>
        <v>0.000650839232784204</v>
      </c>
      <c r="E27" s="678">
        <f>IF(ISNUMBER(D27),D27*'Step1-Country data'!$B$6,"SKIP")</f>
        <v>0</v>
      </c>
      <c r="F27" s="682" t="str">
        <f>IF('Level 1-summary of Hg inputs'!E26="","",'Level 1-summary of Hg inputs'!E26)</f>
        <v>Present?</v>
      </c>
      <c r="G27">
        <f t="shared" si="1"/>
      </c>
    </row>
    <row r="28" spans="1:7" ht="12.75">
      <c r="A28" s="408" t="str">
        <f>'Step3-Metals-RawMat'!A15</f>
        <v>Other materials production</v>
      </c>
      <c r="B28">
        <v>0</v>
      </c>
      <c r="C28">
        <f t="shared" si="2"/>
        <v>10</v>
      </c>
      <c r="D28" s="674">
        <f t="shared" si="0"/>
        <v>0</v>
      </c>
      <c r="E28" s="678">
        <f>IF(ISNUMBER(D28),D28*'Step1-Country data'!$B$6,"SKIP")</f>
        <v>0</v>
      </c>
      <c r="F28" s="682">
        <f>IF('Level 1-summary of Hg inputs'!E27="","",'Level 1-summary of Hg inputs'!E27)</f>
      </c>
      <c r="G28">
        <f t="shared" si="1"/>
      </c>
    </row>
    <row r="29" spans="1:7" ht="12.75">
      <c r="A29" s="480" t="str">
        <f>'Step3-Metals-RawMat'!A16</f>
        <v>Cement production</v>
      </c>
      <c r="B29">
        <v>0.00041647022787699354</v>
      </c>
      <c r="C29">
        <f t="shared" si="2"/>
        <v>10</v>
      </c>
      <c r="D29" s="674">
        <f t="shared" si="0"/>
        <v>0.004164702278769935</v>
      </c>
      <c r="E29" s="678">
        <f>IF(ISNUMBER(D29),D29*'Step1-Country data'!$B$6,"SKIP")</f>
        <v>0</v>
      </c>
      <c r="F29" s="682" t="str">
        <f>IF('Level 1-summary of Hg inputs'!E28="","",'Level 1-summary of Hg inputs'!E28)</f>
        <v>Present?</v>
      </c>
      <c r="G29">
        <f t="shared" si="1"/>
      </c>
    </row>
    <row r="30" spans="1:7" ht="12.75">
      <c r="A30" s="480" t="str">
        <f>'Step3-Metals-RawMat'!A17</f>
        <v>Pulp and paper production</v>
      </c>
      <c r="B30">
        <v>2.155524069559091E-06</v>
      </c>
      <c r="C30">
        <f t="shared" si="2"/>
        <v>10</v>
      </c>
      <c r="D30" s="674">
        <f t="shared" si="0"/>
        <v>2.1555240695590913E-05</v>
      </c>
      <c r="E30" s="678">
        <f>IF(ISNUMBER(D30),D30*'Step1-Country data'!$B$6,"SKIP")</f>
        <v>0</v>
      </c>
      <c r="F30" s="682" t="str">
        <f>IF('Level 1-summary of Hg inputs'!E29="","",'Level 1-summary of Hg inputs'!E29)</f>
        <v>Present?</v>
      </c>
      <c r="G30">
        <f t="shared" si="1"/>
      </c>
    </row>
    <row r="31" spans="1:7" ht="12.75">
      <c r="A31" s="408" t="str">
        <f>'Step4-Industrial Hg use'!A4</f>
        <v>Production of chemicals</v>
      </c>
      <c r="B31">
        <v>0</v>
      </c>
      <c r="C31">
        <f t="shared" si="2"/>
        <v>10</v>
      </c>
      <c r="D31" s="674">
        <f t="shared" si="0"/>
        <v>0</v>
      </c>
      <c r="E31" s="678">
        <f>IF(ISNUMBER(D31),D31*'Step1-Country data'!$B$6,"SKIP")</f>
        <v>0</v>
      </c>
      <c r="F31" s="682">
        <f>IF('Level 1-summary of Hg inputs'!E30="","",'Level 1-summary of Hg inputs'!E30)</f>
      </c>
      <c r="G31">
        <f t="shared" si="1"/>
      </c>
    </row>
    <row r="32" spans="1:7" ht="12.75">
      <c r="A32" s="480" t="str">
        <f>'Step4-Industrial Hg use'!A5</f>
        <v>Chlor-alkali production with mercury-cells</v>
      </c>
      <c r="B32">
        <v>0.0001278837420526794</v>
      </c>
      <c r="C32">
        <f t="shared" si="2"/>
        <v>10</v>
      </c>
      <c r="D32" s="674">
        <f t="shared" si="0"/>
        <v>0.0012788374205267938</v>
      </c>
      <c r="E32" s="678">
        <f>IF(ISNUMBER(D32),D32*'Step1-Country data'!$B$6,"SKIP")</f>
        <v>0</v>
      </c>
      <c r="F32" s="682" t="str">
        <f>IF('Level 1-summary of Hg inputs'!E31="","",'Level 1-summary of Hg inputs'!E31)</f>
        <v>Present?</v>
      </c>
      <c r="G32">
        <f t="shared" si="1"/>
      </c>
    </row>
    <row r="33" spans="1:7" ht="15">
      <c r="A33" s="671" t="str">
        <f>'Step4-Industrial Hg use'!A6</f>
        <v>VCM production with mercury catalyst</v>
      </c>
      <c r="B33">
        <v>0.0001091632713623705</v>
      </c>
      <c r="C33" s="322">
        <v>200</v>
      </c>
      <c r="D33" s="674">
        <f t="shared" si="0"/>
        <v>0.021832654272474102</v>
      </c>
      <c r="E33" s="678">
        <f>IF(ISNUMBER(D33),D33*'Step1-Country data'!$B$6,"SKIP")</f>
        <v>0</v>
      </c>
      <c r="F33" s="682" t="str">
        <f>IF('Level 1-summary of Hg inputs'!E32="","",'Level 1-summary of Hg inputs'!E32)</f>
        <v>Present?</v>
      </c>
      <c r="G33">
        <f t="shared" si="1"/>
      </c>
    </row>
    <row r="34" spans="1:7" ht="26.25">
      <c r="A34" s="671" t="str">
        <f>'Step4-Industrial Hg use'!A7</f>
        <v>Acetaldehyde production with mercury catalyst</v>
      </c>
      <c r="B34" s="673" t="s">
        <v>971</v>
      </c>
      <c r="C34">
        <f t="shared" si="2"/>
        <v>10</v>
      </c>
      <c r="D34" s="674" t="str">
        <f>IF(ISNUMBER(B34),B34*C34,"SKIP")</f>
        <v>SKIP</v>
      </c>
      <c r="E34" s="678" t="str">
        <f>IF(ISNUMBER(D34),D34*'Step1-Country data'!$B$6,"SKIP")</f>
        <v>SKIP</v>
      </c>
      <c r="F34" s="682" t="str">
        <f>IF('Level 1-summary of Hg inputs'!E33="","",'Level 1-summary of Hg inputs'!E33)</f>
        <v>Present?</v>
      </c>
      <c r="G34">
        <f t="shared" si="1"/>
      </c>
    </row>
    <row r="35" spans="1:7" ht="12.75">
      <c r="A35" s="408" t="str">
        <f>'Step4-Industrial Hg use'!A9</f>
        <v>Production of products with mercury content</v>
      </c>
      <c r="B35" s="673"/>
      <c r="C35">
        <f t="shared" si="2"/>
        <v>10</v>
      </c>
      <c r="D35" s="674" t="str">
        <f aca="true" t="shared" si="3" ref="D35:D72">IF(ISNUMBER(B35),B35*C35,"SKIP")</f>
        <v>SKIP</v>
      </c>
      <c r="E35" s="678" t="str">
        <f>IF(ISNUMBER(D35),D35*'Step1-Country data'!$B$6,"SKIP")</f>
        <v>SKIP</v>
      </c>
      <c r="F35" s="682">
        <f>IF('Level 1-summary of Hg inputs'!E34="","",'Level 1-summary of Hg inputs'!E34)</f>
      </c>
      <c r="G35">
        <f t="shared" si="1"/>
      </c>
    </row>
    <row r="36" spans="1:7" ht="15">
      <c r="A36" s="671" t="str">
        <f>'Step4-Industrial Hg use'!A10</f>
        <v>Hg thermometers (medical, air, lab, industrial etc.) </v>
      </c>
      <c r="B36" s="679">
        <f>B39</f>
        <v>0.00010046862845014277</v>
      </c>
      <c r="C36">
        <f t="shared" si="2"/>
        <v>10</v>
      </c>
      <c r="D36" s="674">
        <f t="shared" si="3"/>
        <v>0.0010046862845014277</v>
      </c>
      <c r="E36" s="678">
        <f>IF(ISNUMBER(D36),D36*'Step1-Country data'!$B$6,"SKIP")</f>
        <v>0</v>
      </c>
      <c r="F36" s="682" t="str">
        <f>IF('Level 1-summary of Hg inputs'!E35="","",'Level 1-summary of Hg inputs'!E35)</f>
        <v>Present?</v>
      </c>
      <c r="G36">
        <f t="shared" si="1"/>
      </c>
    </row>
    <row r="37" spans="1:7" ht="15">
      <c r="A37" s="671" t="str">
        <f>'Step4-Industrial Hg use'!A11</f>
        <v>Electrical switches and relays with mercury </v>
      </c>
      <c r="B37" s="679">
        <f>B39</f>
        <v>0.00010046862845014277</v>
      </c>
      <c r="C37">
        <f t="shared" si="2"/>
        <v>10</v>
      </c>
      <c r="D37" s="674">
        <f t="shared" si="3"/>
        <v>0.0010046862845014277</v>
      </c>
      <c r="E37" s="678">
        <f>IF(ISNUMBER(D37),D37*'Step1-Country data'!$B$6,"SKIP")</f>
        <v>0</v>
      </c>
      <c r="F37" s="682" t="str">
        <f>IF('Level 1-summary of Hg inputs'!E36="","",'Level 1-summary of Hg inputs'!E36)</f>
        <v>Present?</v>
      </c>
      <c r="G37">
        <f t="shared" si="1"/>
      </c>
    </row>
    <row r="38" spans="1:7" ht="25.5">
      <c r="A38" s="480" t="str">
        <f>'Step4-Industrial Hg use'!A12</f>
        <v>Light sources with mercury (fluorescent, compact, others: see guideline) </v>
      </c>
      <c r="B38">
        <v>2.4752475247524754E-07</v>
      </c>
      <c r="C38" s="322">
        <v>1000</v>
      </c>
      <c r="D38" s="674">
        <f t="shared" si="3"/>
        <v>0.00024752475247524753</v>
      </c>
      <c r="E38" s="678">
        <f>IF(ISNUMBER(D38),D38*'Step1-Country data'!$B$6,"SKIP")</f>
        <v>0</v>
      </c>
      <c r="F38" s="682" t="str">
        <f>IF('Level 1-summary of Hg inputs'!E37="","",'Level 1-summary of Hg inputs'!E37)</f>
        <v>Present?</v>
      </c>
      <c r="G38">
        <f t="shared" si="1"/>
      </c>
    </row>
    <row r="39" spans="1:7" ht="12.75">
      <c r="A39" s="480" t="str">
        <f>'Step4-Industrial Hg use'!A13</f>
        <v>Batteries with mercury </v>
      </c>
      <c r="B39">
        <v>0.00010046862845014277</v>
      </c>
      <c r="C39">
        <f t="shared" si="2"/>
        <v>10</v>
      </c>
      <c r="D39" s="674">
        <f t="shared" si="3"/>
        <v>0.0010046862845014277</v>
      </c>
      <c r="E39" s="678">
        <f>IF(ISNUMBER(D39),D39*'Step1-Country data'!$B$6,"SKIP")</f>
        <v>0</v>
      </c>
      <c r="F39" s="682" t="str">
        <f>IF('Level 1-summary of Hg inputs'!E38="","",'Level 1-summary of Hg inputs'!E38)</f>
        <v>Present?</v>
      </c>
      <c r="G39">
        <f t="shared" si="1"/>
      </c>
    </row>
    <row r="40" spans="1:7" ht="15">
      <c r="A40" s="671" t="str">
        <f>'Step4-Industrial Hg use'!A14</f>
        <v>Manometers and gauges with mercury </v>
      </c>
      <c r="B40" s="680">
        <f>$B$39</f>
        <v>0.00010046862845014277</v>
      </c>
      <c r="C40">
        <f t="shared" si="2"/>
        <v>10</v>
      </c>
      <c r="D40" s="674">
        <f t="shared" si="3"/>
        <v>0.0010046862845014277</v>
      </c>
      <c r="E40" s="678">
        <f>IF(ISNUMBER(D40),D40*'Step1-Country data'!$B$6,"SKIP")</f>
        <v>0</v>
      </c>
      <c r="F40" s="682" t="str">
        <f>IF('Level 1-summary of Hg inputs'!E39="","",'Level 1-summary of Hg inputs'!E39)</f>
        <v>Present?</v>
      </c>
      <c r="G40">
        <f t="shared" si="1"/>
      </c>
    </row>
    <row r="41" spans="1:7" ht="15">
      <c r="A41" s="671" t="str">
        <f>'Step4-Industrial Hg use'!A15</f>
        <v>Biocides and pesticides with mercury </v>
      </c>
      <c r="B41" s="680">
        <f>$B$39</f>
        <v>0.00010046862845014277</v>
      </c>
      <c r="C41">
        <f t="shared" si="2"/>
        <v>10</v>
      </c>
      <c r="D41" s="674">
        <f t="shared" si="3"/>
        <v>0.0010046862845014277</v>
      </c>
      <c r="E41" s="678">
        <f>IF(ISNUMBER(D41),D41*'Step1-Country data'!$B$6,"SKIP")</f>
        <v>0</v>
      </c>
      <c r="F41" s="682" t="str">
        <f>IF('Level 1-summary of Hg inputs'!E40="","",'Level 1-summary of Hg inputs'!E40)</f>
        <v>Present?</v>
      </c>
      <c r="G41">
        <f t="shared" si="1"/>
      </c>
    </row>
    <row r="42" spans="1:7" ht="12.75">
      <c r="A42" s="480" t="str">
        <f>'Step4-Industrial Hg use'!A16</f>
        <v>Paints with mercury </v>
      </c>
      <c r="B42">
        <v>2.4752475247524754E-05</v>
      </c>
      <c r="C42">
        <f t="shared" si="2"/>
        <v>10</v>
      </c>
      <c r="D42" s="674">
        <f t="shared" si="3"/>
        <v>0.00024752475247524753</v>
      </c>
      <c r="E42" s="678">
        <f>IF(ISNUMBER(D42),D42*'Step1-Country data'!$B$6,"SKIP")</f>
        <v>0</v>
      </c>
      <c r="F42" s="682" t="str">
        <f>IF('Level 1-summary of Hg inputs'!E41="","",'Level 1-summary of Hg inputs'!E41)</f>
        <v>Present?</v>
      </c>
      <c r="G42">
        <f t="shared" si="1"/>
      </c>
    </row>
    <row r="43" spans="1:7" ht="25.5">
      <c r="A43" s="480" t="str">
        <f>'Step4-Industrial Hg use'!A17</f>
        <v>Skin lightening creams and soaps with mercury chemicals </v>
      </c>
      <c r="B43">
        <v>2.4752475247524754E-05</v>
      </c>
      <c r="C43">
        <v>10</v>
      </c>
      <c r="D43" s="674">
        <f t="shared" si="3"/>
        <v>0.00024752475247524753</v>
      </c>
      <c r="E43" s="678">
        <f>IF(ISNUMBER(D43),D43*'Step1-Country data'!$B$6,"SKIP")</f>
        <v>0</v>
      </c>
      <c r="F43" s="682" t="str">
        <f>IF('Level 1-summary of Hg inputs'!E42="","",'Level 1-summary of Hg inputs'!E42)</f>
        <v>Present?</v>
      </c>
      <c r="G43">
        <f t="shared" si="1"/>
      </c>
    </row>
    <row r="44" spans="1:7" ht="12.75">
      <c r="A44" s="408" t="str">
        <f>'Step6-Hg products-substances'!A6</f>
        <v>Use and disposal of products with mercury content</v>
      </c>
      <c r="B44">
        <v>0</v>
      </c>
      <c r="C44">
        <f t="shared" si="2"/>
        <v>10</v>
      </c>
      <c r="D44" s="674">
        <f t="shared" si="3"/>
        <v>0</v>
      </c>
      <c r="E44" s="678">
        <f>IF(ISNUMBER(D44),D44*'Step1-Country data'!$B$6,"SKIP")</f>
        <v>0</v>
      </c>
      <c r="F44" s="682">
        <f>IF('Level 1-summary of Hg inputs'!E43="","",'Level 1-summary of Hg inputs'!E43)</f>
      </c>
      <c r="G44">
        <f t="shared" si="1"/>
      </c>
    </row>
    <row r="45" spans="1:7" ht="12.75">
      <c r="A45" s="672" t="str">
        <f>'Step6-Hg products-substances'!A7</f>
        <v>Dental amalgam fillings ("silver" fillings)</v>
      </c>
      <c r="B45" s="673" t="s">
        <v>972</v>
      </c>
      <c r="C45">
        <f t="shared" si="2"/>
        <v>10</v>
      </c>
      <c r="D45" s="674" t="str">
        <f t="shared" si="3"/>
        <v>SKIP</v>
      </c>
      <c r="E45" s="678" t="str">
        <f>IF(ISNUMBER(D45),D45*'Step1-Country data'!$B$6,"SKIP")</f>
        <v>SKIP</v>
      </c>
      <c r="F45" s="682" t="str">
        <f>IF('Level 1-summary of Hg inputs'!E44="","",'Level 1-summary of Hg inputs'!E44)</f>
        <v>Present?</v>
      </c>
      <c r="G45">
        <f t="shared" si="1"/>
      </c>
    </row>
    <row r="46" spans="1:7" ht="12.75">
      <c r="A46" s="480" t="str">
        <f>'Step6-Hg products-substances'!A13</f>
        <v>Thermometers</v>
      </c>
      <c r="B46">
        <v>0.0001322254652117067</v>
      </c>
      <c r="C46">
        <f t="shared" si="2"/>
        <v>10</v>
      </c>
      <c r="D46" s="674">
        <f t="shared" si="3"/>
        <v>0.001322254652117067</v>
      </c>
      <c r="E46" s="678">
        <f>IF(ISNUMBER(D46),D46*'Step1-Country data'!$B$6,"SKIP")</f>
        <v>0</v>
      </c>
      <c r="F46" s="682" t="str">
        <f>IF('Level 1-summary of Hg inputs'!E45="","",'Level 1-summary of Hg inputs'!E45)</f>
        <v>Present?</v>
      </c>
      <c r="G46">
        <f t="shared" si="1"/>
      </c>
    </row>
    <row r="47" spans="1:7" ht="12.75">
      <c r="A47" s="672" t="str">
        <f>'Step6-Hg products-substances'!A18</f>
        <v>Electrical switches and relays with mercury</v>
      </c>
      <c r="B47" s="673" t="s">
        <v>972</v>
      </c>
      <c r="C47">
        <f t="shared" si="2"/>
        <v>10</v>
      </c>
      <c r="D47" s="674" t="str">
        <f t="shared" si="3"/>
        <v>SKIP</v>
      </c>
      <c r="E47" s="678" t="str">
        <f>IF(ISNUMBER(D47),D47*'Step1-Country data'!$B$6,"SKIP")</f>
        <v>SKIP</v>
      </c>
      <c r="F47" s="682" t="str">
        <f>IF('Level 1-summary of Hg inputs'!E46="","",'Level 1-summary of Hg inputs'!E46)</f>
        <v>Present?</v>
      </c>
      <c r="G47">
        <f t="shared" si="1"/>
      </c>
    </row>
    <row r="48" spans="1:7" ht="12.75">
      <c r="A48" s="480" t="str">
        <f>'Step6-Hg products-substances'!A21</f>
        <v>Light sources with mercury</v>
      </c>
      <c r="B48">
        <v>1.897588396925753E-05</v>
      </c>
      <c r="C48">
        <f t="shared" si="2"/>
        <v>10</v>
      </c>
      <c r="D48" s="674">
        <f t="shared" si="3"/>
        <v>0.00018975883969257531</v>
      </c>
      <c r="E48" s="678">
        <f>IF(ISNUMBER(D48),D48*'Step1-Country data'!$B$6,"SKIP")</f>
        <v>0</v>
      </c>
      <c r="F48" s="682" t="str">
        <f>IF('Level 1-summary of Hg inputs'!E47="","",'Level 1-summary of Hg inputs'!E47)</f>
        <v>Present?</v>
      </c>
      <c r="G48">
        <f t="shared" si="1"/>
      </c>
    </row>
    <row r="49" spans="1:7" ht="12.75">
      <c r="A49" s="285" t="str">
        <f>'Step6-Hg products-substances'!A26</f>
        <v>Batteries with mercury</v>
      </c>
      <c r="B49">
        <v>0.012791241581064613</v>
      </c>
      <c r="C49">
        <f t="shared" si="2"/>
        <v>10</v>
      </c>
      <c r="D49" s="674">
        <f t="shared" si="3"/>
        <v>0.12791241581064614</v>
      </c>
      <c r="E49" s="678">
        <f>IF(ISNUMBER(D49),D49*'Step1-Country data'!$B$6,"SKIP")</f>
        <v>0</v>
      </c>
      <c r="F49" s="682" t="str">
        <f>IF('Level 1-summary of Hg inputs'!E48="","",'Level 1-summary of Hg inputs'!E48)</f>
        <v>Present?</v>
      </c>
      <c r="G49">
        <f t="shared" si="1"/>
      </c>
    </row>
    <row r="50" spans="1:7" ht="12.75">
      <c r="A50" s="672" t="str">
        <f>'Step6-Hg products-substances'!A31</f>
        <v>Polyurethane (PU, PUR) produced with mercury catalyst</v>
      </c>
      <c r="B50" s="673" t="s">
        <v>972</v>
      </c>
      <c r="C50">
        <f t="shared" si="2"/>
        <v>10</v>
      </c>
      <c r="D50" s="674" t="str">
        <f t="shared" si="3"/>
        <v>SKIP</v>
      </c>
      <c r="E50" s="678" t="str">
        <f>IF(ISNUMBER(D50),D50*'Step1-Country data'!$B$6,"SKIP")</f>
        <v>SKIP</v>
      </c>
      <c r="F50" s="682" t="str">
        <f>IF('Level 1-summary of Hg inputs'!E49="","",'Level 1-summary of Hg inputs'!E49)</f>
        <v>Present?</v>
      </c>
      <c r="G50">
        <f t="shared" si="1"/>
      </c>
    </row>
    <row r="51" spans="1:7" ht="15">
      <c r="A51" s="681" t="str">
        <f>'Step6-Hg products-substances'!A34</f>
        <v>Paints with mercury preservatives</v>
      </c>
      <c r="B51">
        <v>3.217821782178218E-06</v>
      </c>
      <c r="C51" s="322">
        <v>30</v>
      </c>
      <c r="D51" s="674">
        <f t="shared" si="3"/>
        <v>9.653465346534654E-05</v>
      </c>
      <c r="E51" s="678">
        <f>IF(ISNUMBER(D51),D51*'Step1-Country data'!$B$6,"SKIP")</f>
        <v>0</v>
      </c>
      <c r="F51" s="682" t="str">
        <f>IF('Level 1-summary of Hg inputs'!E50="","",'Level 1-summary of Hg inputs'!E50)</f>
        <v>Present?</v>
      </c>
      <c r="G51">
        <f t="shared" si="1"/>
      </c>
    </row>
    <row r="52" spans="1:7" ht="30">
      <c r="A52" s="681" t="str">
        <f>'Step6-Hg products-substances'!A36</f>
        <v>Skin lightening creams and soaps with mercury chemicals</v>
      </c>
      <c r="B52">
        <v>1.0332588101156864E-05</v>
      </c>
      <c r="C52">
        <v>10</v>
      </c>
      <c r="D52" s="674">
        <f t="shared" si="3"/>
        <v>0.00010332588101156865</v>
      </c>
      <c r="E52" s="678">
        <f>IF(ISNUMBER(D52),D52*'Step1-Country data'!$B$6,"SKIP")</f>
        <v>0</v>
      </c>
      <c r="F52" s="682" t="str">
        <f>IF('Level 1-summary of Hg inputs'!E51="","",'Level 1-summary of Hg inputs'!E51)</f>
        <v>Present?</v>
      </c>
      <c r="G52">
        <f t="shared" si="1"/>
      </c>
    </row>
    <row r="53" spans="1:7" ht="30">
      <c r="A53" s="681" t="str">
        <f>'Step6-Hg products-substances'!A38</f>
        <v>Medical blood pressure gauges (mercury sphygmomanometers)</v>
      </c>
      <c r="B53">
        <v>6.518256819190764E-05</v>
      </c>
      <c r="C53">
        <f t="shared" si="2"/>
        <v>10</v>
      </c>
      <c r="D53" s="674">
        <f t="shared" si="3"/>
        <v>0.0006518256819190764</v>
      </c>
      <c r="E53" s="678">
        <f>IF(ISNUMBER(D53),D53*'Step1-Country data'!$B$6,"SKIP")</f>
        <v>0</v>
      </c>
      <c r="F53" s="682" t="str">
        <f>IF('Level 1-summary of Hg inputs'!E52="","",'Level 1-summary of Hg inputs'!E52)</f>
        <v>Present?</v>
      </c>
      <c r="G53">
        <f t="shared" si="1"/>
      </c>
    </row>
    <row r="54" spans="1:7" ht="12.75">
      <c r="A54" s="672" t="str">
        <f>'Step6-Hg products-substances'!A40</f>
        <v>Other manometers and gauges with mercury</v>
      </c>
      <c r="B54" s="673" t="s">
        <v>972</v>
      </c>
      <c r="C54">
        <f t="shared" si="2"/>
        <v>10</v>
      </c>
      <c r="D54" s="674" t="str">
        <f t="shared" si="3"/>
        <v>SKIP</v>
      </c>
      <c r="E54" s="678" t="str">
        <f>IF(ISNUMBER(D54),D54*'Step1-Country data'!$B$6,"SKIP")</f>
        <v>SKIP</v>
      </c>
      <c r="F54" s="682" t="str">
        <f>IF('Level 1-summary of Hg inputs'!E53="","",'Level 1-summary of Hg inputs'!E53)</f>
        <v>Present?</v>
      </c>
      <c r="G54">
        <f t="shared" si="1"/>
      </c>
    </row>
    <row r="55" spans="1:7" ht="12.75">
      <c r="A55" s="672" t="str">
        <f>'Step6-Hg products-substances'!A43</f>
        <v>Laboratory chemicals</v>
      </c>
      <c r="B55" s="673" t="s">
        <v>972</v>
      </c>
      <c r="C55">
        <f t="shared" si="2"/>
        <v>10</v>
      </c>
      <c r="D55" s="674" t="str">
        <f t="shared" si="3"/>
        <v>SKIP</v>
      </c>
      <c r="E55" s="678" t="str">
        <f>IF(ISNUMBER(D55),D55*'Step1-Country data'!$B$6,"SKIP")</f>
        <v>SKIP</v>
      </c>
      <c r="F55" s="682" t="str">
        <f>IF('Level 1-summary of Hg inputs'!E54="","",'Level 1-summary of Hg inputs'!E54)</f>
        <v>Present?</v>
      </c>
      <c r="G55">
        <f t="shared" si="1"/>
      </c>
    </row>
    <row r="56" spans="1:7" ht="12.75">
      <c r="A56" s="672" t="str">
        <f>'Step6-Hg products-substances'!A46</f>
        <v>Other laboratory and medical equipment with mercury </v>
      </c>
      <c r="B56" s="673" t="s">
        <v>972</v>
      </c>
      <c r="C56">
        <f t="shared" si="2"/>
        <v>10</v>
      </c>
      <c r="D56" s="674" t="str">
        <f t="shared" si="3"/>
        <v>SKIP</v>
      </c>
      <c r="E56" s="678" t="str">
        <f>IF(ISNUMBER(D56),D56*'Step1-Country data'!$B$6,"SKIP")</f>
        <v>SKIP</v>
      </c>
      <c r="F56" s="682" t="str">
        <f>IF('Level 1-summary of Hg inputs'!E55="","",'Level 1-summary of Hg inputs'!E55)</f>
        <v>Present?</v>
      </c>
      <c r="G56">
        <f t="shared" si="1"/>
      </c>
    </row>
    <row r="57" spans="1:7" ht="12.75">
      <c r="A57" s="408" t="str">
        <f>'Step5-Waste treatment+recycling'!A8</f>
        <v>Production of recycled of metals</v>
      </c>
      <c r="B57">
        <v>0</v>
      </c>
      <c r="C57">
        <f t="shared" si="2"/>
        <v>10</v>
      </c>
      <c r="D57" s="674">
        <f t="shared" si="3"/>
        <v>0</v>
      </c>
      <c r="E57" s="678">
        <f>IF(ISNUMBER(D57),D57*'Step1-Country data'!$B$6,"SKIP")</f>
        <v>0</v>
      </c>
      <c r="F57" s="682">
        <f>IF('Level 1-summary of Hg inputs'!E56="","",'Level 1-summary of Hg inputs'!E56)</f>
      </c>
      <c r="G57">
        <f t="shared" si="1"/>
      </c>
    </row>
    <row r="58" spans="1:7" ht="30">
      <c r="A58" s="681" t="str">
        <f>'Step5-Waste treatment+recycling'!A9</f>
        <v>Production of recycled mercury ("secondary production”)</v>
      </c>
      <c r="B58" s="680">
        <v>0.01</v>
      </c>
      <c r="C58">
        <f t="shared" si="2"/>
        <v>10</v>
      </c>
      <c r="D58" s="674">
        <f t="shared" si="3"/>
        <v>0.1</v>
      </c>
      <c r="E58" s="678">
        <f>IF(ISNUMBER(D58),D58*'Step1-Country data'!$B$6,"SKIP")</f>
        <v>0</v>
      </c>
      <c r="F58" s="682" t="str">
        <f>IF('Level 1-summary of Hg inputs'!E57="","",'Level 1-summary of Hg inputs'!E57)</f>
        <v>Present?</v>
      </c>
      <c r="G58">
        <f t="shared" si="1"/>
      </c>
    </row>
    <row r="59" spans="1:7" ht="12.75">
      <c r="A59" s="480" t="str">
        <f>'Step5-Waste treatment+recycling'!A10</f>
        <v>Production of recycled ferrous metals (iron and steel)</v>
      </c>
      <c r="B59">
        <v>8.96005741326336E-06</v>
      </c>
      <c r="C59">
        <f t="shared" si="2"/>
        <v>10</v>
      </c>
      <c r="D59" s="674">
        <f t="shared" si="3"/>
        <v>8.96005741326336E-05</v>
      </c>
      <c r="E59" s="678">
        <f>IF(ISNUMBER(D59),D59*'Step1-Country data'!$B$6,"SKIP")</f>
        <v>0</v>
      </c>
      <c r="F59" s="682" t="str">
        <f>IF('Level 1-summary of Hg inputs'!E58="","",'Level 1-summary of Hg inputs'!E58)</f>
        <v>Present?</v>
      </c>
      <c r="G59">
        <f t="shared" si="1"/>
      </c>
    </row>
    <row r="60" spans="1:7" ht="12.75">
      <c r="A60" s="408" t="str">
        <f>'Step5-Waste treatment+recycling'!A12</f>
        <v>Waste incineration</v>
      </c>
      <c r="B60">
        <v>0</v>
      </c>
      <c r="C60">
        <f t="shared" si="2"/>
        <v>10</v>
      </c>
      <c r="D60" s="674">
        <f t="shared" si="3"/>
        <v>0</v>
      </c>
      <c r="E60" s="678">
        <f>IF(ISNUMBER(D60),D60*'Step1-Country data'!$B$6,"SKIP")</f>
        <v>0</v>
      </c>
      <c r="F60" s="682">
        <f>IF('Level 1-summary of Hg inputs'!E59="","",'Level 1-summary of Hg inputs'!E59)</f>
      </c>
      <c r="G60">
        <f t="shared" si="1"/>
      </c>
    </row>
    <row r="61" spans="1:7" ht="12.75">
      <c r="A61" s="285" t="str">
        <f>'Step5-Waste treatment+recycling'!A13</f>
        <v>Incineration of municipal/general waste</v>
      </c>
      <c r="B61">
        <v>0.0005992952380952381</v>
      </c>
      <c r="C61">
        <f t="shared" si="2"/>
        <v>10</v>
      </c>
      <c r="D61" s="674">
        <f t="shared" si="3"/>
        <v>0.005992952380952381</v>
      </c>
      <c r="E61" s="678">
        <f>IF(ISNUMBER(D61),D61*'Step1-Country data'!$B$6,"SKIP")</f>
        <v>0</v>
      </c>
      <c r="F61" s="682" t="str">
        <f>IF('Level 1-summary of Hg inputs'!E60="","",'Level 1-summary of Hg inputs'!E60)</f>
        <v>Present?</v>
      </c>
      <c r="G61">
        <f t="shared" si="1"/>
      </c>
    </row>
    <row r="62" spans="1:7" ht="12.75">
      <c r="A62" s="285" t="str">
        <f>'Step5-Waste treatment+recycling'!A14</f>
        <v>Incineration of hazardous waste</v>
      </c>
      <c r="B62">
        <v>2.6063225443658077E-06</v>
      </c>
      <c r="C62">
        <f t="shared" si="2"/>
        <v>10</v>
      </c>
      <c r="D62" s="674">
        <f t="shared" si="3"/>
        <v>2.6063225443658077E-05</v>
      </c>
      <c r="E62" s="678">
        <f>IF(ISNUMBER(D62),D62*'Step1-Country data'!$B$6,"SKIP")</f>
        <v>0</v>
      </c>
      <c r="F62" s="682" t="str">
        <f>IF('Level 1-summary of Hg inputs'!E61="","",'Level 1-summary of Hg inputs'!E61)</f>
        <v>Present?</v>
      </c>
      <c r="G62">
        <f t="shared" si="1"/>
      </c>
    </row>
    <row r="63" spans="1:7" ht="12.75">
      <c r="A63" s="285" t="str">
        <f>'Step5-Waste treatment+recycling'!A15</f>
        <v>Incineration and open burning of medical waste</v>
      </c>
      <c r="B63">
        <v>0.0002836415367018771</v>
      </c>
      <c r="C63">
        <f t="shared" si="2"/>
        <v>10</v>
      </c>
      <c r="D63" s="674">
        <f t="shared" si="3"/>
        <v>0.0028364153670187714</v>
      </c>
      <c r="E63" s="678">
        <f>IF(ISNUMBER(D63),D63*'Step1-Country data'!$B$6,"SKIP")</f>
        <v>0</v>
      </c>
      <c r="F63" s="682" t="str">
        <f>IF('Level 1-summary of Hg inputs'!E62="","",'Level 1-summary of Hg inputs'!E62)</f>
        <v>Present?</v>
      </c>
      <c r="G63">
        <f t="shared" si="1"/>
      </c>
    </row>
    <row r="64" spans="1:7" ht="12.75">
      <c r="A64" s="285" t="str">
        <f>'Step5-Waste treatment+recycling'!A16</f>
        <v>Sewage sludge incineration</v>
      </c>
      <c r="B64">
        <v>9.330425972600271E-07</v>
      </c>
      <c r="C64" s="322">
        <v>500</v>
      </c>
      <c r="D64" s="674">
        <f t="shared" si="3"/>
        <v>0.00046652129863001353</v>
      </c>
      <c r="E64" s="678">
        <f>IF(ISNUMBER(D64),D64*'Step1-Country data'!$B$6,"SKIP")</f>
        <v>0</v>
      </c>
      <c r="F64" s="682" t="str">
        <f>IF('Level 1-summary of Hg inputs'!E63="","",'Level 1-summary of Hg inputs'!E63)</f>
        <v>Present?</v>
      </c>
      <c r="G64">
        <f t="shared" si="1"/>
      </c>
    </row>
    <row r="65" spans="1:7" ht="12.75">
      <c r="A65" s="285" t="str">
        <f>'Step5-Waste treatment+recycling'!A17</f>
        <v>Open fire waste burning (on landfills and informally)</v>
      </c>
      <c r="B65">
        <v>0.000934460666681618</v>
      </c>
      <c r="C65">
        <f t="shared" si="2"/>
        <v>10</v>
      </c>
      <c r="D65" s="674">
        <f t="shared" si="3"/>
        <v>0.00934460666681618</v>
      </c>
      <c r="E65" s="678">
        <f>IF(ISNUMBER(D65),D65*'Step1-Country data'!$B$6,"SKIP")</f>
        <v>0</v>
      </c>
      <c r="F65" s="682" t="str">
        <f>IF('Level 1-summary of Hg inputs'!E64="","",'Level 1-summary of Hg inputs'!E64)</f>
        <v>Present?</v>
      </c>
      <c r="G65">
        <f t="shared" si="1"/>
      </c>
    </row>
    <row r="66" spans="1:7" ht="25.5">
      <c r="A66" s="408" t="str">
        <f>'Step5-Waste treatment+recycling'!A19</f>
        <v>Waste deposition/landfilling and waste water treatment</v>
      </c>
      <c r="B66">
        <v>0</v>
      </c>
      <c r="C66">
        <f t="shared" si="2"/>
        <v>10</v>
      </c>
      <c r="D66" s="674">
        <f t="shared" si="3"/>
        <v>0</v>
      </c>
      <c r="E66" s="678">
        <f>IF(ISNUMBER(D66),D66*'Step1-Country data'!$B$6,"SKIP")</f>
        <v>0</v>
      </c>
      <c r="F66" s="682">
        <f>IF('Level 1-summary of Hg inputs'!E65="","",'Level 1-summary of Hg inputs'!E65)</f>
      </c>
      <c r="G66">
        <f t="shared" si="1"/>
      </c>
    </row>
    <row r="67" spans="1:7" ht="12.75">
      <c r="A67" s="285" t="str">
        <f>'Step5-Waste treatment+recycling'!A20</f>
        <v>Controlled landfills/deposits</v>
      </c>
      <c r="B67">
        <v>0.001998631497041346</v>
      </c>
      <c r="C67">
        <f t="shared" si="2"/>
        <v>10</v>
      </c>
      <c r="D67" s="674">
        <f t="shared" si="3"/>
        <v>0.01998631497041346</v>
      </c>
      <c r="E67" s="678">
        <f>IF(ISNUMBER(D67),D67*'Step1-Country data'!$B$6,"SKIP")</f>
        <v>0</v>
      </c>
      <c r="F67" s="682" t="str">
        <f>IF('Level 1-summary of Hg inputs'!E66="","",'Level 1-summary of Hg inputs'!E66)</f>
        <v>Present?</v>
      </c>
      <c r="G67">
        <f t="shared" si="1"/>
      </c>
    </row>
    <row r="68" spans="1:7" ht="12.75">
      <c r="A68" s="285" t="str">
        <f>'Step5-Waste treatment+recycling'!A21</f>
        <v>Informal dumping of general waste *1</v>
      </c>
      <c r="B68">
        <v>0.0009924702775545098</v>
      </c>
      <c r="C68">
        <f t="shared" si="2"/>
        <v>10</v>
      </c>
      <c r="D68" s="674">
        <f t="shared" si="3"/>
        <v>0.009924702775545097</v>
      </c>
      <c r="E68" s="678">
        <f>IF(ISNUMBER(D68),D68*'Step1-Country data'!$B$6,"SKIP")</f>
        <v>0</v>
      </c>
      <c r="F68" s="682" t="str">
        <f>IF('Level 1-summary of Hg inputs'!E67="","",'Level 1-summary of Hg inputs'!E67)</f>
        <v>Present?</v>
      </c>
      <c r="G68">
        <f t="shared" si="1"/>
      </c>
    </row>
    <row r="69" spans="1:7" ht="12.75">
      <c r="A69" s="285" t="str">
        <f>'Step5-Waste treatment+recycling'!A23</f>
        <v>Waste water system/treatment</v>
      </c>
      <c r="B69">
        <v>0.005055628028918752</v>
      </c>
      <c r="C69">
        <f t="shared" si="2"/>
        <v>10</v>
      </c>
      <c r="D69" s="674">
        <f t="shared" si="3"/>
        <v>0.05055628028918752</v>
      </c>
      <c r="E69" s="678">
        <f>IF(ISNUMBER(D69),D69*'Step1-Country data'!$B$6,"SKIP")</f>
        <v>0</v>
      </c>
      <c r="F69" s="682" t="str">
        <f>IF('Level 1-summary of Hg inputs'!E68="","",'Level 1-summary of Hg inputs'!E68)</f>
        <v>Present?</v>
      </c>
      <c r="G69">
        <f t="shared" si="1"/>
      </c>
    </row>
    <row r="70" spans="1:7" ht="12.75">
      <c r="A70" s="408" t="str">
        <f>'Step7-Crematoria-cemetaries'!A4</f>
        <v>Crematoria and cemeteries</v>
      </c>
      <c r="B70">
        <v>0</v>
      </c>
      <c r="C70">
        <f t="shared" si="2"/>
        <v>10</v>
      </c>
      <c r="D70" s="674">
        <f t="shared" si="3"/>
        <v>0</v>
      </c>
      <c r="E70" s="678">
        <f>IF(ISNUMBER(D70),D70*'Step1-Country data'!$B$6,"SKIP")</f>
        <v>0</v>
      </c>
      <c r="F70" s="682">
        <f>IF('Level 1-summary of Hg inputs'!E69="","",'Level 1-summary of Hg inputs'!E69)</f>
      </c>
      <c r="G70">
        <f t="shared" si="1"/>
      </c>
    </row>
    <row r="71" spans="1:7" ht="12.75">
      <c r="A71" s="480" t="str">
        <f>'Step7-Crematoria-cemetaries'!A5</f>
        <v>Crematoria</v>
      </c>
      <c r="B71">
        <v>8.347890611714873E-06</v>
      </c>
      <c r="C71" s="322">
        <v>100</v>
      </c>
      <c r="D71" s="674">
        <f t="shared" si="3"/>
        <v>0.0008347890611714873</v>
      </c>
      <c r="E71" s="678">
        <f>IF(ISNUMBER(D71),D71*'Step1-Country data'!$B$6,"SKIP")</f>
        <v>0</v>
      </c>
      <c r="F71" s="682" t="str">
        <f>IF('Level 1-summary of Hg inputs'!E70="","",'Level 1-summary of Hg inputs'!E70)</f>
        <v>Present?</v>
      </c>
      <c r="G71">
        <f>IF(ISNUMBER(F71),IF(F71&lt;E71,"y","n"),"")</f>
      </c>
    </row>
    <row r="72" spans="1:7" ht="12.75">
      <c r="A72" s="480" t="str">
        <f>'Step7-Crematoria-cemetaries'!A6</f>
        <v>Cemeteries</v>
      </c>
      <c r="B72">
        <v>0.00023823640052987485</v>
      </c>
      <c r="C72">
        <f>$C$3</f>
        <v>10</v>
      </c>
      <c r="D72" s="674">
        <f t="shared" si="3"/>
        <v>0.0023823640052987485</v>
      </c>
      <c r="E72" s="678">
        <f>IF(ISNUMBER(D72),D72*'Step1-Country data'!$B$6,"SKIP")</f>
        <v>0</v>
      </c>
      <c r="F72" s="682" t="str">
        <f>IF('Level 1-summary of Hg inputs'!E71="","",'Level 1-summary of Hg inputs'!E71)</f>
        <v>Present?</v>
      </c>
      <c r="G72">
        <f>IF(ISNUMBER(F72),IF(F72&lt;E72,"y","n"),"")</f>
      </c>
    </row>
  </sheetData>
  <sheetProtection/>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H103"/>
  <sheetViews>
    <sheetView zoomScalePageLayoutView="0" workbookViewId="0" topLeftCell="A1">
      <selection activeCell="C14" sqref="C14"/>
    </sheetView>
  </sheetViews>
  <sheetFormatPr defaultColWidth="9.140625" defaultRowHeight="12.75"/>
  <cols>
    <col min="1" max="1" width="39.7109375" style="0" customWidth="1"/>
    <col min="2" max="2" width="15.7109375" style="0" customWidth="1"/>
    <col min="3" max="3" width="28.7109375" style="0" customWidth="1"/>
    <col min="4" max="4" width="19.421875" style="0" customWidth="1"/>
    <col min="5" max="5" width="19.00390625" style="0" customWidth="1"/>
    <col min="6" max="6" width="12.140625" style="0" customWidth="1"/>
    <col min="7" max="7" width="15.00390625" style="0" customWidth="1"/>
    <col min="8" max="8" width="61.7109375" style="0" customWidth="1"/>
    <col min="9" max="25" width="9.140625" style="346" customWidth="1"/>
  </cols>
  <sheetData>
    <row r="1" s="346" customFormat="1" ht="12.75">
      <c r="A1" s="363" t="s">
        <v>884</v>
      </c>
    </row>
    <row r="2" s="346" customFormat="1" ht="12.75">
      <c r="A2" s="624" t="s">
        <v>1038</v>
      </c>
    </row>
    <row r="3" s="346" customFormat="1" ht="12.75">
      <c r="A3" s="329" t="s">
        <v>885</v>
      </c>
    </row>
    <row r="4" s="346" customFormat="1" ht="12.75">
      <c r="A4" s="329" t="s">
        <v>956</v>
      </c>
    </row>
    <row r="5" s="346" customFormat="1" ht="12.75">
      <c r="A5" s="329" t="s">
        <v>957</v>
      </c>
    </row>
    <row r="6" s="346" customFormat="1" ht="12.75"/>
    <row r="7" spans="1:8" ht="39" thickBot="1">
      <c r="A7" s="269" t="s">
        <v>886</v>
      </c>
      <c r="B7" s="621" t="s">
        <v>891</v>
      </c>
      <c r="C7" s="621" t="s">
        <v>888</v>
      </c>
      <c r="D7" s="642" t="s">
        <v>902</v>
      </c>
      <c r="E7" s="621" t="s">
        <v>889</v>
      </c>
      <c r="F7" s="621" t="s">
        <v>890</v>
      </c>
      <c r="G7" s="621" t="s">
        <v>904</v>
      </c>
      <c r="H7" s="622" t="s">
        <v>903</v>
      </c>
    </row>
    <row r="8" spans="1:8" ht="12.75">
      <c r="A8" s="266" t="s">
        <v>555</v>
      </c>
      <c r="B8" s="646"/>
      <c r="C8" s="352" t="s">
        <v>896</v>
      </c>
      <c r="D8" s="643">
        <f>B8*F8</f>
        <v>0</v>
      </c>
      <c r="E8" s="352" t="s">
        <v>899</v>
      </c>
      <c r="F8" s="352">
        <v>25600</v>
      </c>
      <c r="G8" s="622" t="s">
        <v>898</v>
      </c>
      <c r="H8" s="622" t="s">
        <v>945</v>
      </c>
    </row>
    <row r="9" spans="1:8" ht="12.75">
      <c r="A9" s="266" t="s">
        <v>554</v>
      </c>
      <c r="B9" s="647"/>
      <c r="C9" s="352" t="s">
        <v>896</v>
      </c>
      <c r="D9" s="643">
        <f>B9*F9</f>
        <v>0</v>
      </c>
      <c r="E9" s="352" t="s">
        <v>899</v>
      </c>
      <c r="F9" s="352">
        <v>25600</v>
      </c>
      <c r="G9" s="622" t="s">
        <v>898</v>
      </c>
      <c r="H9" s="622"/>
    </row>
    <row r="10" spans="1:8" ht="12.75">
      <c r="A10" s="266" t="s">
        <v>376</v>
      </c>
      <c r="B10" s="647"/>
      <c r="C10" s="352" t="s">
        <v>897</v>
      </c>
      <c r="D10" s="643">
        <f>B10*F10</f>
        <v>0</v>
      </c>
      <c r="E10" s="352" t="s">
        <v>900</v>
      </c>
      <c r="F10" s="352">
        <v>25600</v>
      </c>
      <c r="G10" s="622" t="s">
        <v>898</v>
      </c>
      <c r="H10" s="622"/>
    </row>
    <row r="11" spans="1:8" ht="12.75">
      <c r="A11" s="266"/>
      <c r="B11" s="647"/>
      <c r="C11" s="352"/>
      <c r="D11" s="643"/>
      <c r="E11" s="352"/>
      <c r="F11" s="352"/>
      <c r="G11" s="622"/>
      <c r="H11" s="622"/>
    </row>
    <row r="12" spans="1:8" ht="38.25">
      <c r="A12" s="266" t="s">
        <v>385</v>
      </c>
      <c r="B12" s="648"/>
      <c r="C12" s="352" t="s">
        <v>887</v>
      </c>
      <c r="D12" s="643">
        <f>B12*F12</f>
        <v>0</v>
      </c>
      <c r="E12" s="352" t="s">
        <v>396</v>
      </c>
      <c r="F12" s="634">
        <v>1.9</v>
      </c>
      <c r="G12" s="622" t="s">
        <v>946</v>
      </c>
      <c r="H12" s="622" t="s">
        <v>950</v>
      </c>
    </row>
    <row r="13" spans="1:8" ht="38.25">
      <c r="A13" s="266" t="s">
        <v>387</v>
      </c>
      <c r="B13" s="648"/>
      <c r="C13" s="352" t="s">
        <v>892</v>
      </c>
      <c r="D13" s="643">
        <f>B13*F13</f>
        <v>0</v>
      </c>
      <c r="E13" s="352" t="s">
        <v>396</v>
      </c>
      <c r="F13" s="352">
        <v>3.58</v>
      </c>
      <c r="G13" s="622" t="s">
        <v>947</v>
      </c>
      <c r="H13" s="622" t="s">
        <v>950</v>
      </c>
    </row>
    <row r="14" spans="1:8" ht="38.25">
      <c r="A14" s="266" t="s">
        <v>388</v>
      </c>
      <c r="B14" s="648"/>
      <c r="C14" s="352" t="s">
        <v>893</v>
      </c>
      <c r="D14" s="643">
        <f>B14*F14</f>
        <v>0</v>
      </c>
      <c r="E14" s="352" t="s">
        <v>396</v>
      </c>
      <c r="F14" s="352">
        <v>2.5</v>
      </c>
      <c r="G14" s="622" t="s">
        <v>948</v>
      </c>
      <c r="H14" s="622" t="s">
        <v>950</v>
      </c>
    </row>
    <row r="15" spans="1:8" ht="25.5">
      <c r="A15" s="266" t="s">
        <v>386</v>
      </c>
      <c r="B15" s="648"/>
      <c r="C15" s="352" t="s">
        <v>894</v>
      </c>
      <c r="D15" s="643">
        <f>B15*F15</f>
        <v>0</v>
      </c>
      <c r="E15" s="352" t="s">
        <v>549</v>
      </c>
      <c r="F15" s="645">
        <v>250000</v>
      </c>
      <c r="G15" s="622" t="s">
        <v>949</v>
      </c>
      <c r="H15" s="622" t="s">
        <v>950</v>
      </c>
    </row>
    <row r="16" spans="1:8" ht="51">
      <c r="A16" s="376" t="s">
        <v>451</v>
      </c>
      <c r="B16" s="648"/>
      <c r="C16" s="352" t="s">
        <v>895</v>
      </c>
      <c r="D16" s="643">
        <f>B16*F16</f>
        <v>0</v>
      </c>
      <c r="E16" s="352" t="s">
        <v>457</v>
      </c>
      <c r="F16" s="352">
        <f>(3.8+4.7)/2</f>
        <v>4.25</v>
      </c>
      <c r="G16" s="622" t="s">
        <v>901</v>
      </c>
      <c r="H16" s="622" t="s">
        <v>950</v>
      </c>
    </row>
    <row r="17" spans="1:8" ht="12.75">
      <c r="A17" s="376"/>
      <c r="B17" s="648"/>
      <c r="C17" s="362"/>
      <c r="D17" s="644"/>
      <c r="E17" s="362"/>
      <c r="F17" s="362"/>
      <c r="G17" s="623"/>
      <c r="H17" s="622"/>
    </row>
    <row r="18" spans="1:8" ht="12.75">
      <c r="A18" s="279" t="s">
        <v>406</v>
      </c>
      <c r="B18" s="648"/>
      <c r="C18" s="352" t="s">
        <v>955</v>
      </c>
      <c r="D18" s="643">
        <f>B18/F18</f>
        <v>0</v>
      </c>
      <c r="E18" s="352" t="s">
        <v>488</v>
      </c>
      <c r="F18" s="362">
        <v>0.004</v>
      </c>
      <c r="G18" s="622" t="s">
        <v>951</v>
      </c>
      <c r="H18" s="622" t="s">
        <v>952</v>
      </c>
    </row>
    <row r="19" spans="1:8" ht="25.5">
      <c r="A19" s="279" t="s">
        <v>122</v>
      </c>
      <c r="B19" s="648"/>
      <c r="C19" s="352" t="s">
        <v>955</v>
      </c>
      <c r="D19" s="643">
        <f>B19/F19</f>
        <v>0</v>
      </c>
      <c r="E19" s="352" t="s">
        <v>488</v>
      </c>
      <c r="F19" s="362">
        <v>0.1</v>
      </c>
      <c r="G19" s="622" t="s">
        <v>951</v>
      </c>
      <c r="H19" s="622" t="s">
        <v>954</v>
      </c>
    </row>
    <row r="20" spans="1:8" ht="13.5" thickBot="1">
      <c r="A20" s="279" t="s">
        <v>123</v>
      </c>
      <c r="B20" s="649"/>
      <c r="C20" s="352" t="s">
        <v>955</v>
      </c>
      <c r="D20" s="643">
        <f>B20/F20</f>
        <v>0</v>
      </c>
      <c r="E20" s="352" t="s">
        <v>488</v>
      </c>
      <c r="F20" s="362">
        <v>0.05</v>
      </c>
      <c r="G20" s="622" t="s">
        <v>951</v>
      </c>
      <c r="H20" s="622" t="s">
        <v>953</v>
      </c>
    </row>
    <row r="21" spans="1:8" s="378" customFormat="1" ht="12.75">
      <c r="A21" s="650"/>
      <c r="B21" s="651"/>
      <c r="E21" s="379"/>
      <c r="G21" s="652"/>
      <c r="H21" s="650"/>
    </row>
    <row r="22" spans="1:8" s="378" customFormat="1" ht="12.75">
      <c r="A22" s="650"/>
      <c r="B22" s="651"/>
      <c r="E22" s="379"/>
      <c r="G22" s="652"/>
      <c r="H22" s="650"/>
    </row>
    <row r="23" spans="1:8" s="378" customFormat="1" ht="12.75">
      <c r="A23" s="650"/>
      <c r="B23" s="653"/>
      <c r="E23" s="379"/>
      <c r="G23" s="652"/>
      <c r="H23" s="650"/>
    </row>
    <row r="24" spans="1:8" s="378" customFormat="1" ht="12.75">
      <c r="A24" s="650"/>
      <c r="B24" s="651"/>
      <c r="C24" s="379"/>
      <c r="D24" s="379"/>
      <c r="E24" s="379"/>
      <c r="F24" s="379"/>
      <c r="G24" s="650"/>
      <c r="H24" s="650"/>
    </row>
    <row r="25" spans="1:8" s="378" customFormat="1" ht="12.75">
      <c r="A25" s="650"/>
      <c r="B25" s="651"/>
      <c r="C25" s="379"/>
      <c r="D25" s="379"/>
      <c r="E25" s="379"/>
      <c r="F25" s="379"/>
      <c r="G25" s="650"/>
      <c r="H25" s="650"/>
    </row>
    <row r="26" s="378" customFormat="1" ht="12.75"/>
    <row r="27" s="378" customFormat="1" ht="12.75"/>
    <row r="28" s="378" customFormat="1" ht="12.75"/>
    <row r="29" spans="1:8" s="378" customFormat="1" ht="12.75">
      <c r="A29" s="650"/>
      <c r="B29" s="379"/>
      <c r="C29" s="379"/>
      <c r="D29" s="379"/>
      <c r="E29" s="379"/>
      <c r="F29" s="379"/>
      <c r="G29" s="379"/>
      <c r="H29" s="379"/>
    </row>
    <row r="30" spans="1:8" s="378" customFormat="1" ht="12.75">
      <c r="A30" s="650"/>
      <c r="B30" s="654"/>
      <c r="C30" s="655"/>
      <c r="D30" s="656"/>
      <c r="E30" s="657"/>
      <c r="F30" s="658"/>
      <c r="G30" s="659"/>
      <c r="H30" s="658"/>
    </row>
    <row r="31" spans="1:8" s="378" customFormat="1" ht="12.75">
      <c r="A31" s="650"/>
      <c r="B31" s="654"/>
      <c r="C31" s="655"/>
      <c r="D31" s="656"/>
      <c r="E31" s="657"/>
      <c r="F31" s="658"/>
      <c r="G31" s="659"/>
      <c r="H31" s="658"/>
    </row>
    <row r="32" spans="1:8" s="378" customFormat="1" ht="12.75">
      <c r="A32" s="650"/>
      <c r="B32" s="654"/>
      <c r="C32" s="655"/>
      <c r="D32" s="656"/>
      <c r="E32" s="657"/>
      <c r="F32" s="660"/>
      <c r="G32" s="661"/>
      <c r="H32" s="658"/>
    </row>
    <row r="33" spans="1:8" s="378" customFormat="1" ht="12.75">
      <c r="A33" s="650"/>
      <c r="E33" s="662"/>
      <c r="F33" s="660"/>
      <c r="G33" s="659"/>
      <c r="H33" s="659"/>
    </row>
    <row r="34" spans="1:8" s="378" customFormat="1" ht="12.75">
      <c r="A34" s="650"/>
      <c r="B34" s="654"/>
      <c r="C34" s="655"/>
      <c r="D34" s="656"/>
      <c r="E34" s="657"/>
      <c r="F34" s="660"/>
      <c r="G34" s="661"/>
      <c r="H34" s="658"/>
    </row>
    <row r="35" spans="1:8" s="378" customFormat="1" ht="12.75">
      <c r="A35" s="650"/>
      <c r="B35" s="654"/>
      <c r="C35" s="655"/>
      <c r="D35" s="656"/>
      <c r="E35" s="657"/>
      <c r="F35" s="660"/>
      <c r="G35" s="660"/>
      <c r="H35" s="658"/>
    </row>
    <row r="36" spans="1:8" s="378" customFormat="1" ht="12.75">
      <c r="A36" s="650"/>
      <c r="B36" s="654"/>
      <c r="C36" s="654"/>
      <c r="D36" s="656"/>
      <c r="E36" s="657"/>
      <c r="F36" s="660"/>
      <c r="G36" s="660"/>
      <c r="H36" s="658"/>
    </row>
    <row r="37" spans="1:8" s="378" customFormat="1" ht="12.75">
      <c r="A37" s="650"/>
      <c r="B37" s="654"/>
      <c r="C37" s="655"/>
      <c r="D37" s="656"/>
      <c r="E37" s="663"/>
      <c r="F37" s="660"/>
      <c r="G37" s="660"/>
      <c r="H37" s="658"/>
    </row>
    <row r="38" spans="1:8" s="378" customFormat="1" ht="12.75">
      <c r="A38" s="650"/>
      <c r="B38" s="654"/>
      <c r="C38" s="655"/>
      <c r="D38" s="656"/>
      <c r="E38" s="657"/>
      <c r="F38" s="660"/>
      <c r="G38" s="660"/>
      <c r="H38" s="658"/>
    </row>
    <row r="39" spans="1:8" s="378" customFormat="1" ht="12.75">
      <c r="A39" s="650"/>
      <c r="B39" s="654"/>
      <c r="C39" s="655"/>
      <c r="D39" s="656"/>
      <c r="E39" s="657"/>
      <c r="F39" s="660"/>
      <c r="G39" s="658"/>
      <c r="H39" s="659"/>
    </row>
    <row r="40" spans="1:8" s="378" customFormat="1" ht="12.75">
      <c r="A40" s="650"/>
      <c r="B40" s="654"/>
      <c r="C40" s="655"/>
      <c r="D40" s="656"/>
      <c r="E40" s="657"/>
      <c r="F40" s="660"/>
      <c r="G40" s="660"/>
      <c r="H40" s="659"/>
    </row>
    <row r="41" spans="1:8" s="378" customFormat="1" ht="12.75">
      <c r="A41" s="650"/>
      <c r="B41" s="654"/>
      <c r="C41" s="655"/>
      <c r="D41" s="656"/>
      <c r="E41" s="657"/>
      <c r="F41" s="660"/>
      <c r="G41" s="660"/>
      <c r="H41" s="659"/>
    </row>
    <row r="42" spans="1:8" s="378" customFormat="1" ht="12.75">
      <c r="A42" s="650"/>
      <c r="B42" s="654"/>
      <c r="C42" s="655"/>
      <c r="D42" s="656"/>
      <c r="E42" s="657"/>
      <c r="F42" s="660"/>
      <c r="G42" s="660"/>
      <c r="H42" s="659"/>
    </row>
    <row r="43" spans="1:8" s="378" customFormat="1" ht="12.75">
      <c r="A43" s="650"/>
      <c r="B43" s="654"/>
      <c r="C43" s="654"/>
      <c r="D43" s="656"/>
      <c r="E43" s="654"/>
      <c r="F43" s="660"/>
      <c r="G43" s="660"/>
      <c r="H43" s="659"/>
    </row>
    <row r="44" spans="1:8" s="378" customFormat="1" ht="12.75">
      <c r="A44" s="650"/>
      <c r="B44" s="654"/>
      <c r="C44" s="655"/>
      <c r="D44" s="656"/>
      <c r="E44" s="654"/>
      <c r="F44" s="660"/>
      <c r="G44" s="660"/>
      <c r="H44" s="659"/>
    </row>
    <row r="45" spans="1:8" s="378" customFormat="1" ht="12.75">
      <c r="A45" s="664"/>
      <c r="F45" s="658"/>
      <c r="G45" s="658"/>
      <c r="H45" s="658"/>
    </row>
    <row r="46" spans="1:8" s="378" customFormat="1" ht="12.75">
      <c r="A46" s="650"/>
      <c r="B46" s="654"/>
      <c r="C46" s="654"/>
      <c r="D46" s="665"/>
      <c r="E46" s="654"/>
      <c r="F46" s="660"/>
      <c r="G46" s="660"/>
      <c r="H46" s="658"/>
    </row>
    <row r="47" spans="1:8" s="378" customFormat="1" ht="12.75">
      <c r="A47" s="650"/>
      <c r="B47" s="654"/>
      <c r="C47" s="654"/>
      <c r="D47" s="665"/>
      <c r="E47" s="654"/>
      <c r="F47" s="660"/>
      <c r="G47" s="660"/>
      <c r="H47" s="658"/>
    </row>
    <row r="48" spans="1:8" s="378" customFormat="1" ht="12.75">
      <c r="A48" s="650"/>
      <c r="B48" s="654"/>
      <c r="C48" s="654"/>
      <c r="D48" s="665"/>
      <c r="E48" s="654"/>
      <c r="F48" s="660"/>
      <c r="G48" s="660"/>
      <c r="H48" s="660"/>
    </row>
    <row r="49" spans="1:8" s="378" customFormat="1" ht="12.75">
      <c r="A49" s="650"/>
      <c r="B49" s="654"/>
      <c r="C49" s="654"/>
      <c r="D49" s="665"/>
      <c r="E49" s="654"/>
      <c r="F49" s="660"/>
      <c r="G49" s="660"/>
      <c r="H49" s="658"/>
    </row>
    <row r="50" spans="1:8" s="378" customFormat="1" ht="12.75">
      <c r="A50" s="650"/>
      <c r="B50" s="654"/>
      <c r="C50" s="654"/>
      <c r="D50" s="665"/>
      <c r="E50" s="654"/>
      <c r="F50" s="660"/>
      <c r="G50" s="660"/>
      <c r="H50" s="658"/>
    </row>
    <row r="51" spans="1:8" s="378" customFormat="1" ht="12.75">
      <c r="A51" s="650"/>
      <c r="B51" s="654"/>
      <c r="C51" s="654"/>
      <c r="D51" s="665"/>
      <c r="E51" s="654"/>
      <c r="F51" s="660"/>
      <c r="G51" s="660"/>
      <c r="H51" s="658"/>
    </row>
    <row r="52" spans="1:8" s="378" customFormat="1" ht="12.75">
      <c r="A52" s="650"/>
      <c r="B52" s="654"/>
      <c r="C52" s="654"/>
      <c r="D52" s="665"/>
      <c r="E52" s="654"/>
      <c r="F52" s="660"/>
      <c r="G52" s="660"/>
      <c r="H52" s="658"/>
    </row>
    <row r="53" spans="1:8" s="378" customFormat="1" ht="12.75">
      <c r="A53" s="650"/>
      <c r="B53" s="654"/>
      <c r="C53" s="654"/>
      <c r="D53" s="665"/>
      <c r="E53" s="654"/>
      <c r="F53" s="660"/>
      <c r="G53" s="660"/>
      <c r="H53" s="658"/>
    </row>
    <row r="54" spans="1:8" s="378" customFormat="1" ht="12.75">
      <c r="A54" s="650"/>
      <c r="B54" s="654"/>
      <c r="C54" s="655"/>
      <c r="D54" s="656"/>
      <c r="E54" s="654"/>
      <c r="F54" s="660"/>
      <c r="G54" s="666"/>
      <c r="H54" s="659"/>
    </row>
    <row r="55" spans="1:8" s="378" customFormat="1" ht="12.75">
      <c r="A55" s="650"/>
      <c r="B55" s="654"/>
      <c r="C55" s="654"/>
      <c r="D55" s="665"/>
      <c r="E55" s="654"/>
      <c r="F55" s="660"/>
      <c r="G55" s="660"/>
      <c r="H55" s="658"/>
    </row>
    <row r="56" spans="1:8" s="378" customFormat="1" ht="12.75">
      <c r="A56" s="664"/>
      <c r="F56" s="658"/>
      <c r="G56" s="658"/>
      <c r="H56" s="658"/>
    </row>
    <row r="57" spans="1:8" s="378" customFormat="1" ht="12.75">
      <c r="A57" s="650"/>
      <c r="B57" s="654"/>
      <c r="C57" s="654"/>
      <c r="D57" s="665"/>
      <c r="E57" s="654"/>
      <c r="F57" s="660"/>
      <c r="G57" s="660"/>
      <c r="H57" s="658"/>
    </row>
    <row r="58" spans="1:8" s="378" customFormat="1" ht="12.75">
      <c r="A58" s="650"/>
      <c r="B58" s="654"/>
      <c r="C58" s="654"/>
      <c r="D58" s="665"/>
      <c r="E58" s="654"/>
      <c r="F58" s="660"/>
      <c r="G58" s="660"/>
      <c r="H58" s="658"/>
    </row>
    <row r="59" spans="1:8" s="378" customFormat="1" ht="12.75">
      <c r="A59" s="650"/>
      <c r="B59" s="654"/>
      <c r="C59" s="654"/>
      <c r="D59" s="665"/>
      <c r="E59" s="654"/>
      <c r="F59" s="660"/>
      <c r="G59" s="660"/>
      <c r="H59" s="658"/>
    </row>
    <row r="60" spans="1:8" s="378" customFormat="1" ht="12.75">
      <c r="A60" s="650"/>
      <c r="B60" s="654"/>
      <c r="C60" s="654"/>
      <c r="D60" s="665"/>
      <c r="E60" s="654"/>
      <c r="F60" s="660"/>
      <c r="G60" s="660"/>
      <c r="H60" s="658"/>
    </row>
    <row r="61" spans="1:8" s="378" customFormat="1" ht="12.75">
      <c r="A61" s="650"/>
      <c r="F61" s="658"/>
      <c r="G61" s="658"/>
      <c r="H61" s="658"/>
    </row>
    <row r="62" spans="1:8" s="378" customFormat="1" ht="12.75">
      <c r="A62" s="650"/>
      <c r="B62" s="654"/>
      <c r="C62" s="654"/>
      <c r="D62" s="665"/>
      <c r="E62" s="654"/>
      <c r="F62" s="660"/>
      <c r="G62" s="660"/>
      <c r="H62" s="658"/>
    </row>
    <row r="63" spans="1:8" s="378" customFormat="1" ht="12.75">
      <c r="A63" s="650"/>
      <c r="B63" s="654"/>
      <c r="C63" s="654"/>
      <c r="D63" s="665"/>
      <c r="E63" s="654"/>
      <c r="F63" s="660"/>
      <c r="G63" s="660"/>
      <c r="H63" s="658"/>
    </row>
    <row r="64" spans="1:8" s="378" customFormat="1" ht="12.75">
      <c r="A64" s="650"/>
      <c r="B64" s="654"/>
      <c r="C64" s="654"/>
      <c r="D64" s="665"/>
      <c r="E64" s="654"/>
      <c r="F64" s="660"/>
      <c r="G64" s="660"/>
      <c r="H64" s="658"/>
    </row>
    <row r="65" spans="1:8" s="378" customFormat="1" ht="12.75">
      <c r="A65" s="650"/>
      <c r="B65" s="654"/>
      <c r="C65" s="655"/>
      <c r="D65" s="656"/>
      <c r="E65" s="654"/>
      <c r="F65" s="660"/>
      <c r="G65" s="666"/>
      <c r="H65" s="659"/>
    </row>
    <row r="66" spans="1:8" s="378" customFormat="1" ht="12.75">
      <c r="A66" s="650"/>
      <c r="F66" s="658"/>
      <c r="G66" s="658"/>
      <c r="H66" s="658"/>
    </row>
    <row r="67" spans="1:8" s="378" customFormat="1" ht="12.75">
      <c r="A67" s="650"/>
      <c r="F67" s="658"/>
      <c r="G67" s="658"/>
      <c r="H67" s="658"/>
    </row>
    <row r="68" spans="1:8" s="378" customFormat="1" ht="12.75">
      <c r="A68" s="667"/>
      <c r="F68" s="658"/>
      <c r="G68" s="658"/>
      <c r="H68" s="658"/>
    </row>
    <row r="69" spans="1:8" s="378" customFormat="1" ht="12.75">
      <c r="A69" s="667"/>
      <c r="F69" s="658"/>
      <c r="G69" s="658"/>
      <c r="H69" s="658"/>
    </row>
    <row r="70" spans="1:8" s="378" customFormat="1" ht="12.75">
      <c r="A70" s="650"/>
      <c r="B70" s="379"/>
      <c r="C70" s="654"/>
      <c r="D70" s="665"/>
      <c r="E70" s="654"/>
      <c r="F70" s="660"/>
      <c r="G70" s="660"/>
      <c r="H70" s="658"/>
    </row>
    <row r="71" spans="1:8" s="378" customFormat="1" ht="12.75">
      <c r="A71" s="650"/>
      <c r="B71" s="654"/>
      <c r="C71" s="654"/>
      <c r="D71" s="665"/>
      <c r="E71" s="654"/>
      <c r="F71" s="660"/>
      <c r="G71" s="660"/>
      <c r="H71" s="658"/>
    </row>
    <row r="72" spans="1:8" s="378" customFormat="1" ht="12.75">
      <c r="A72" s="650"/>
      <c r="B72" s="379"/>
      <c r="F72" s="660"/>
      <c r="G72" s="660"/>
      <c r="H72" s="658"/>
    </row>
    <row r="73" spans="1:8" s="378" customFormat="1" ht="12.75">
      <c r="A73" s="650"/>
      <c r="B73" s="379"/>
      <c r="F73" s="660"/>
      <c r="G73" s="660"/>
      <c r="H73" s="658"/>
    </row>
    <row r="74" spans="1:8" s="378" customFormat="1" ht="12.75">
      <c r="A74" s="650"/>
      <c r="B74" s="654"/>
      <c r="C74" s="655"/>
      <c r="D74" s="656"/>
      <c r="E74" s="654"/>
      <c r="F74" s="661"/>
      <c r="G74" s="668"/>
      <c r="H74" s="658"/>
    </row>
    <row r="75" spans="1:8" s="378" customFormat="1" ht="12.75">
      <c r="A75" s="650"/>
      <c r="B75" s="654"/>
      <c r="C75" s="655"/>
      <c r="D75" s="656"/>
      <c r="E75" s="654"/>
      <c r="F75" s="660"/>
      <c r="G75" s="660"/>
      <c r="H75" s="658"/>
    </row>
    <row r="76" spans="1:8" s="378" customFormat="1" ht="12.75">
      <c r="A76" s="650"/>
      <c r="B76" s="654"/>
      <c r="C76" s="654"/>
      <c r="D76" s="665"/>
      <c r="E76" s="654"/>
      <c r="F76" s="660"/>
      <c r="G76" s="661"/>
      <c r="H76" s="658"/>
    </row>
    <row r="77" spans="1:8" s="378" customFormat="1" ht="12.75">
      <c r="A77" s="650"/>
      <c r="B77" s="654"/>
      <c r="C77" s="654"/>
      <c r="D77" s="665"/>
      <c r="E77" s="654"/>
      <c r="F77" s="660"/>
      <c r="G77" s="661"/>
      <c r="H77" s="658"/>
    </row>
    <row r="78" spans="1:8" s="378" customFormat="1" ht="12.75">
      <c r="A78" s="650"/>
      <c r="B78" s="654"/>
      <c r="C78" s="654"/>
      <c r="D78" s="665"/>
      <c r="E78" s="654"/>
      <c r="F78" s="660"/>
      <c r="G78" s="661"/>
      <c r="H78" s="658"/>
    </row>
    <row r="79" spans="1:8" s="378" customFormat="1" ht="12.75">
      <c r="A79" s="650"/>
      <c r="B79" s="654"/>
      <c r="C79" s="655"/>
      <c r="D79" s="656"/>
      <c r="E79" s="654"/>
      <c r="F79" s="660"/>
      <c r="G79" s="659"/>
      <c r="H79" s="659"/>
    </row>
    <row r="80" spans="1:8" s="378" customFormat="1" ht="12.75">
      <c r="A80" s="667"/>
      <c r="F80" s="660"/>
      <c r="G80" s="660"/>
      <c r="H80" s="658"/>
    </row>
    <row r="81" spans="1:8" s="378" customFormat="1" ht="12.75">
      <c r="A81" s="667"/>
      <c r="F81" s="660"/>
      <c r="G81" s="660"/>
      <c r="H81" s="658"/>
    </row>
    <row r="82" spans="1:8" s="378" customFormat="1" ht="12.75">
      <c r="A82" s="650"/>
      <c r="B82" s="379"/>
      <c r="C82" s="654"/>
      <c r="D82" s="665"/>
      <c r="E82" s="654"/>
      <c r="F82" s="660"/>
      <c r="G82" s="660"/>
      <c r="H82" s="658"/>
    </row>
    <row r="83" spans="1:8" s="378" customFormat="1" ht="12.75">
      <c r="A83" s="650"/>
      <c r="B83" s="379"/>
      <c r="F83" s="660"/>
      <c r="G83" s="660"/>
      <c r="H83" s="658"/>
    </row>
    <row r="84" spans="1:8" s="378" customFormat="1" ht="12.75">
      <c r="A84" s="650"/>
      <c r="B84" s="379"/>
      <c r="F84" s="660"/>
      <c r="G84" s="660"/>
      <c r="H84" s="658"/>
    </row>
    <row r="85" spans="1:8" s="378" customFormat="1" ht="12.75">
      <c r="A85" s="650"/>
      <c r="B85" s="379"/>
      <c r="F85" s="660"/>
      <c r="G85" s="660"/>
      <c r="H85" s="658"/>
    </row>
    <row r="86" spans="1:8" s="378" customFormat="1" ht="12.75">
      <c r="A86" s="650"/>
      <c r="B86" s="379"/>
      <c r="F86" s="660"/>
      <c r="G86" s="660"/>
      <c r="H86" s="658"/>
    </row>
    <row r="87" spans="1:8" s="378" customFormat="1" ht="12.75">
      <c r="A87" s="650"/>
      <c r="B87" s="654"/>
      <c r="C87" s="654"/>
      <c r="D87" s="665"/>
      <c r="E87" s="654"/>
      <c r="F87" s="660"/>
      <c r="G87" s="660"/>
      <c r="H87" s="658"/>
    </row>
    <row r="88" spans="1:8" s="378" customFormat="1" ht="12.75">
      <c r="A88" s="650"/>
      <c r="B88" s="654"/>
      <c r="C88" s="655"/>
      <c r="D88" s="656"/>
      <c r="E88" s="654"/>
      <c r="F88" s="660"/>
      <c r="G88" s="660"/>
      <c r="H88" s="658"/>
    </row>
    <row r="89" spans="1:8" s="378" customFormat="1" ht="12.75">
      <c r="A89" s="650"/>
      <c r="B89" s="654"/>
      <c r="C89" s="654"/>
      <c r="D89" s="665"/>
      <c r="E89" s="654"/>
      <c r="F89" s="660"/>
      <c r="G89" s="660"/>
      <c r="H89" s="658"/>
    </row>
    <row r="90" spans="1:8" s="378" customFormat="1" ht="12.75">
      <c r="A90" s="650"/>
      <c r="B90" s="654"/>
      <c r="C90" s="655"/>
      <c r="D90" s="656"/>
      <c r="E90" s="654"/>
      <c r="F90" s="660"/>
      <c r="G90" s="659"/>
      <c r="H90" s="669"/>
    </row>
    <row r="91" spans="1:8" s="378" customFormat="1" ht="12.75">
      <c r="A91" s="650"/>
      <c r="B91" s="379"/>
      <c r="F91" s="660"/>
      <c r="G91" s="660"/>
      <c r="H91" s="658"/>
    </row>
    <row r="92" spans="2:8" s="378" customFormat="1" ht="12.75">
      <c r="B92" s="379"/>
      <c r="F92" s="660"/>
      <c r="G92" s="660"/>
      <c r="H92" s="658"/>
    </row>
    <row r="93" spans="1:8" s="378" customFormat="1" ht="12.75">
      <c r="A93" s="667"/>
      <c r="B93" s="379"/>
      <c r="F93" s="660"/>
      <c r="G93" s="660"/>
      <c r="H93" s="658"/>
    </row>
    <row r="94" spans="1:8" s="378" customFormat="1" ht="12.75">
      <c r="A94" s="667"/>
      <c r="F94" s="660"/>
      <c r="G94" s="660"/>
      <c r="H94" s="658"/>
    </row>
    <row r="95" spans="1:8" s="28" customFormat="1" ht="12.75">
      <c r="A95" s="635"/>
      <c r="B95" s="282"/>
      <c r="C95" s="638"/>
      <c r="D95" s="641"/>
      <c r="E95" s="638"/>
      <c r="F95" s="637"/>
      <c r="G95" s="637"/>
      <c r="H95" s="636"/>
    </row>
    <row r="96" spans="1:8" s="28" customFormat="1" ht="12.75">
      <c r="A96" s="635"/>
      <c r="B96" s="638"/>
      <c r="C96" s="638"/>
      <c r="D96" s="641"/>
      <c r="E96" s="638"/>
      <c r="F96" s="637"/>
      <c r="G96" s="637"/>
      <c r="H96" s="636"/>
    </row>
    <row r="97" spans="1:8" s="28" customFormat="1" ht="12.75">
      <c r="A97" s="635"/>
      <c r="B97" s="282"/>
      <c r="F97" s="637"/>
      <c r="G97" s="637"/>
      <c r="H97" s="636"/>
    </row>
    <row r="98" spans="1:8" s="28" customFormat="1" ht="12.75">
      <c r="A98" s="635"/>
      <c r="B98" s="638"/>
      <c r="C98" s="638"/>
      <c r="D98" s="641"/>
      <c r="E98" s="638"/>
      <c r="F98" s="637"/>
      <c r="G98" s="637"/>
      <c r="H98" s="636"/>
    </row>
    <row r="99" spans="6:8" s="28" customFormat="1" ht="12.75">
      <c r="F99" s="637"/>
      <c r="G99" s="637"/>
      <c r="H99" s="636"/>
    </row>
    <row r="100" spans="1:8" s="28" customFormat="1" ht="12.75">
      <c r="A100" s="635"/>
      <c r="B100" s="638"/>
      <c r="C100" s="638"/>
      <c r="D100" s="641"/>
      <c r="E100" s="638"/>
      <c r="F100" s="637"/>
      <c r="G100" s="637"/>
      <c r="H100" s="636"/>
    </row>
    <row r="101" spans="1:8" s="28" customFormat="1" ht="12.75">
      <c r="A101" s="635"/>
      <c r="B101" s="638"/>
      <c r="C101" s="638"/>
      <c r="D101" s="641"/>
      <c r="E101" s="638"/>
      <c r="F101" s="637"/>
      <c r="G101" s="637"/>
      <c r="H101" s="636"/>
    </row>
    <row r="102" spans="1:8" s="28" customFormat="1" ht="12.75">
      <c r="A102" s="635"/>
      <c r="B102" s="638"/>
      <c r="C102" s="638"/>
      <c r="D102" s="641"/>
      <c r="E102" s="638"/>
      <c r="F102" s="637"/>
      <c r="G102" s="637"/>
      <c r="H102" s="636"/>
    </row>
    <row r="103" spans="1:8" s="28" customFormat="1" ht="12.75">
      <c r="A103" s="635"/>
      <c r="B103" s="638"/>
      <c r="C103" s="639"/>
      <c r="D103" s="640"/>
      <c r="E103" s="638"/>
      <c r="F103" s="637"/>
      <c r="G103" s="636"/>
      <c r="H103" s="471"/>
    </row>
    <row r="104" s="28" customFormat="1" ht="12.75"/>
    <row r="105" s="28"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46" customFormat="1" ht="12.75"/>
    <row r="120" s="346" customFormat="1" ht="12.75"/>
    <row r="121" s="346" customFormat="1" ht="12.75"/>
    <row r="122" s="346" customFormat="1" ht="12.75"/>
    <row r="123" s="346" customFormat="1" ht="12.75"/>
    <row r="124" s="346" customFormat="1" ht="12.75"/>
    <row r="125" s="346" customFormat="1" ht="12.75"/>
    <row r="126" s="346" customFormat="1" ht="12.75"/>
    <row r="127" s="346" customFormat="1" ht="12.75"/>
    <row r="128" s="346" customFormat="1" ht="12.75"/>
    <row r="129" s="346" customFormat="1" ht="12.75"/>
  </sheetData>
  <sheetProtection password="BC6F" sheet="1"/>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3"/>
  <sheetViews>
    <sheetView zoomScalePageLayoutView="0" workbookViewId="0" topLeftCell="A1">
      <selection activeCell="F11" sqref="F11"/>
    </sheetView>
  </sheetViews>
  <sheetFormatPr defaultColWidth="9.140625" defaultRowHeight="12.75"/>
  <cols>
    <col min="1" max="1" width="48.28125" style="346" customWidth="1"/>
    <col min="2" max="2" width="10.28125" style="346" customWidth="1"/>
    <col min="3" max="3" width="10.7109375" style="346" customWidth="1"/>
    <col min="4" max="4" width="9.7109375" style="346" customWidth="1"/>
    <col min="5" max="5" width="9.8515625" style="346" customWidth="1"/>
    <col min="6" max="6" width="11.28125" style="346" customWidth="1"/>
    <col min="7" max="7" width="10.00390625" style="346" customWidth="1"/>
    <col min="8" max="8" width="14.28125" style="346" customWidth="1"/>
    <col min="9" max="9" width="9.8515625" style="346" customWidth="1"/>
    <col min="10" max="16384" width="9.140625" style="346" customWidth="1"/>
  </cols>
  <sheetData>
    <row r="1" spans="1:2" ht="12.75">
      <c r="A1" s="363" t="s">
        <v>523</v>
      </c>
      <c r="B1" s="363"/>
    </row>
    <row r="2" spans="1:10" s="368" customFormat="1" ht="12.75">
      <c r="A2" s="266" t="s">
        <v>323</v>
      </c>
      <c r="B2" s="695" t="s">
        <v>373</v>
      </c>
      <c r="C2" s="697" t="s">
        <v>379</v>
      </c>
      <c r="D2" s="698"/>
      <c r="E2" s="698"/>
      <c r="F2" s="698"/>
      <c r="G2" s="698"/>
      <c r="H2" s="698"/>
      <c r="I2" s="699"/>
      <c r="J2" s="695" t="s">
        <v>921</v>
      </c>
    </row>
    <row r="3" spans="1:10" ht="51">
      <c r="A3" s="438"/>
      <c r="B3" s="696"/>
      <c r="C3" s="273" t="s">
        <v>38</v>
      </c>
      <c r="D3" s="273" t="s">
        <v>39</v>
      </c>
      <c r="E3" s="273" t="s">
        <v>40</v>
      </c>
      <c r="F3" s="460" t="s">
        <v>521</v>
      </c>
      <c r="G3" s="267" t="s">
        <v>42</v>
      </c>
      <c r="H3" s="267" t="s">
        <v>380</v>
      </c>
      <c r="I3" s="625" t="s">
        <v>929</v>
      </c>
      <c r="J3" s="696"/>
    </row>
    <row r="4" spans="1:14" ht="12.75">
      <c r="A4" s="382" t="s">
        <v>509</v>
      </c>
      <c r="B4" s="447" t="str">
        <f>IF(OR('Level 1- total summary'!E5=pres,'Level 1- total summary'!E6=pres),pres,SUM('Level 1- total summary'!E5:E6))</f>
        <v>Present?</v>
      </c>
      <c r="C4" s="447" t="str">
        <f>IF(OR('Level 1- total summary'!F5=pres,'Level 1- total summary'!F6=pres),pres,SUM('Level 1- total summary'!F5:F6))</f>
        <v>Present?</v>
      </c>
      <c r="D4" s="447" t="str">
        <f>IF(OR('Level 1- total summary'!G5=pres,'Level 1- total summary'!G6=pres),pres,SUM('Level 1- total summary'!G5:G6))</f>
        <v>Present?</v>
      </c>
      <c r="E4" s="447" t="str">
        <f>IF(OR('Level 1- total summary'!H5=pres,'Level 1- total summary'!H6=pres),pres,SUM('Level 1- total summary'!H5:H6))</f>
        <v>Present?</v>
      </c>
      <c r="F4" s="447" t="str">
        <f>IF(OR('Level 1- total summary'!I5=pres,'Level 1- total summary'!I6=pres),pres,SUM('Level 1- total summary'!I5:I6))</f>
        <v>Present?</v>
      </c>
      <c r="G4" s="447" t="str">
        <f>IF(OR('Level 1- total summary'!J5=pres,'Level 1- total summary'!J6=pres),pres,SUM('Level 1- total summary'!J5:J6))</f>
        <v>Present?</v>
      </c>
      <c r="H4" s="447" t="str">
        <f>IF(OR('Level 1- total summary'!K5=pres,'Level 1- total summary'!K6=pres),pres,SUM('Level 1- total summary'!K5:K6))</f>
        <v>Present?</v>
      </c>
      <c r="I4" s="464">
        <f>SUM(C4:H4)</f>
        <v>0</v>
      </c>
      <c r="J4" s="503" t="e">
        <f>I4/$I$21</f>
        <v>#DIV/0!</v>
      </c>
      <c r="N4" s="482"/>
    </row>
    <row r="5" spans="1:10" ht="12.75">
      <c r="A5" s="380" t="s">
        <v>510</v>
      </c>
      <c r="B5" s="447" t="str">
        <f>IF(OR('Level 1- total summary'!E7=pres,'Level 1- total summary'!E8=pres,'Level 1- total summary'!E9=pres,'Level 1- total summary'!E10=pres,'Level 1- total summary'!E11=pres,'Level 1- total summary'!E12=pres),pres,SUM('Level 1- total summary'!E7:E12))</f>
        <v>Present?</v>
      </c>
      <c r="C5" s="447" t="str">
        <f>IF(OR('Level 1- total summary'!F7=pres,'Level 1- total summary'!F8=pres,'Level 1- total summary'!F9=pres,'Level 1- total summary'!F10=pres,'Level 1- total summary'!F11=pres,'Level 1- total summary'!F12=pres),pres,SUM('Level 1- total summary'!F7:F12))</f>
        <v>Present?</v>
      </c>
      <c r="D5" s="447" t="str">
        <f>IF(OR('Level 1- total summary'!G7=pres,'Level 1- total summary'!G8=pres,'Level 1- total summary'!G9=pres,'Level 1- total summary'!G10=pres,'Level 1- total summary'!G11=pres,'Level 1- total summary'!G12=pres),pres,SUM('Level 1- total summary'!G7:G12))</f>
        <v>Present?</v>
      </c>
      <c r="E5" s="447" t="str">
        <f>IF(OR('Level 1- total summary'!H7=pres,'Level 1- total summary'!H8=pres,'Level 1- total summary'!H9=pres,'Level 1- total summary'!H10=pres,'Level 1- total summary'!H11=pres,'Level 1- total summary'!H12=pres),pres,SUM('Level 1- total summary'!H7:H12))</f>
        <v>Present?</v>
      </c>
      <c r="F5" s="447" t="str">
        <f>IF(OR('Level 1- total summary'!I7=pres,'Level 1- total summary'!I8=pres,'Level 1- total summary'!I9=pres,'Level 1- total summary'!I10=pres,'Level 1- total summary'!I11=pres,'Level 1- total summary'!I12=pres),pres,SUM('Level 1- total summary'!I7:I12))</f>
        <v>Present?</v>
      </c>
      <c r="G5" s="447" t="str">
        <f>IF(OR('Level 1- total summary'!J7=pres,'Level 1- total summary'!J8=pres,'Level 1- total summary'!J9=pres,'Level 1- total summary'!J10=pres,'Level 1- total summary'!J11=pres,'Level 1- total summary'!J12=pres),pres,SUM('Level 1- total summary'!J7:J12))</f>
        <v>Present?</v>
      </c>
      <c r="H5" s="447" t="str">
        <f>IF(OR('Level 1- total summary'!K7=pres,'Level 1- total summary'!K8=pres,'Level 1- total summary'!K9=pres,'Level 1- total summary'!K10=pres,'Level 1- total summary'!K11=pres,'Level 1- total summary'!K12=pres),pres,SUM('Level 1- total summary'!K7:K12))</f>
        <v>Present?</v>
      </c>
      <c r="I5" s="464">
        <f aca="true" t="shared" si="0" ref="I5:I20">SUM(C5:H5)</f>
        <v>0</v>
      </c>
      <c r="J5" s="503" t="e">
        <f aca="true" t="shared" si="1" ref="J5:J20">I5/$I$21</f>
        <v>#DIV/0!</v>
      </c>
    </row>
    <row r="6" spans="1:12" ht="12.75">
      <c r="A6" s="382" t="s">
        <v>519</v>
      </c>
      <c r="B6" s="447" t="str">
        <f>IF(OR('Level 1- total summary'!E14=pres,'Level 1- total summary'!E15=pres,'Level 1- total summary'!E16=pres),pres,SUM('Level 1- total summary'!E14:E16))</f>
        <v>Present?</v>
      </c>
      <c r="C6" s="447" t="str">
        <f>IF(OR('Level 1- total summary'!F14=pres,'Level 1- total summary'!F15=pres,'Level 1- total summary'!F16=pres),pres,SUM('Level 1- total summary'!F14:F16))</f>
        <v>Present?</v>
      </c>
      <c r="D6" s="447" t="str">
        <f>IF(OR('Level 1- total summary'!G14=pres,'Level 1- total summary'!G15=pres,'Level 1- total summary'!G16=pres),pres,SUM('Level 1- total summary'!G14:G16))</f>
        <v>Present?</v>
      </c>
      <c r="E6" s="447" t="str">
        <f>IF(OR('Level 1- total summary'!H14=pres,'Level 1- total summary'!H15=pres,'Level 1- total summary'!H16=pres),pres,SUM('Level 1- total summary'!H14:H16))</f>
        <v>Present?</v>
      </c>
      <c r="F6" s="447" t="str">
        <f>IF(OR('Level 1- total summary'!I14=pres,'Level 1- total summary'!I15=pres,'Level 1- total summary'!I16=pres),pres,SUM('Level 1- total summary'!I14:I16))</f>
        <v>Present?</v>
      </c>
      <c r="G6" s="447" t="str">
        <f>IF(OR('Level 1- total summary'!J14=pres,'Level 1- total summary'!J15=pres,'Level 1- total summary'!J16=pres),pres,SUM('Level 1- total summary'!J14:J16))</f>
        <v>Present?</v>
      </c>
      <c r="H6" s="447" t="str">
        <f>IF(OR('Level 1- total summary'!K14=pres,'Level 1- total summary'!K15=pres,'Level 1- total summary'!K16=pres),pres,SUM('Level 1- total summary'!K14:K16))</f>
        <v>Present?</v>
      </c>
      <c r="I6" s="501">
        <f t="shared" si="0"/>
        <v>0</v>
      </c>
      <c r="J6" s="503" t="e">
        <f t="shared" si="1"/>
        <v>#DIV/0!</v>
      </c>
      <c r="L6" s="507"/>
    </row>
    <row r="7" spans="1:14" ht="25.5">
      <c r="A7" s="382" t="s">
        <v>520</v>
      </c>
      <c r="B7" s="447" t="str">
        <f>IF(OR('Level 1- total summary'!E18=pres,'Level 1- total summary'!E19=pres,'Level 1- total summary'!E20=pres,'Level 1- total summary'!E21=pres,'Level 1- total summary'!E22=pres,'Level 1- total summary'!E23=pres,'Level 1- total summary'!E24=pres),pres,SUM('Level 1- total summary'!E18:E24))</f>
        <v>Present?</v>
      </c>
      <c r="C7" s="447" t="str">
        <f>IF(OR('Level 1- total summary'!F18=pres,'Level 1- total summary'!F19=pres,'Level 1- total summary'!F20=pres,'Level 1- total summary'!F21=pres,'Level 1- total summary'!F22=pres,'Level 1- total summary'!F23=pres,'Level 1- total summary'!F24=pres),pres,SUM('Level 1- total summary'!F18:F24))</f>
        <v>Present?</v>
      </c>
      <c r="D7" s="447" t="str">
        <f>IF(OR('Level 1- total summary'!G18=pres,'Level 1- total summary'!G19=pres,'Level 1- total summary'!G20=pres,'Level 1- total summary'!G21=pres,'Level 1- total summary'!G22=pres,'Level 1- total summary'!G23=pres,'Level 1- total summary'!G24=pres),pres,SUM('Level 1- total summary'!G18:G24))</f>
        <v>Present?</v>
      </c>
      <c r="E7" s="447" t="str">
        <f>IF(OR('Level 1- total summary'!H18=pres,'Level 1- total summary'!H19=pres,'Level 1- total summary'!H20=pres,'Level 1- total summary'!H21=pres,'Level 1- total summary'!H22=pres,'Level 1- total summary'!H23=pres,'Level 1- total summary'!H24=pres),pres,SUM('Level 1- total summary'!H18:H24))</f>
        <v>Present?</v>
      </c>
      <c r="F7" s="447" t="str">
        <f>IF(OR('Level 1- total summary'!I18=pres,'Level 1- total summary'!I19=pres,'Level 1- total summary'!I20=pres,'Level 1- total summary'!I21=pres,'Level 1- total summary'!I22=pres,'Level 1- total summary'!I23=pres,'Level 1- total summary'!I24=pres),pres,SUM('Level 1- total summary'!I18:I24))</f>
        <v>Present?</v>
      </c>
      <c r="G7" s="447" t="str">
        <f>IF(OR('Level 1- total summary'!J18=pres,'Level 1- total summary'!J19=pres,'Level 1- total summary'!J20=pres,'Level 1- total summary'!J21=pres,'Level 1- total summary'!J22=pres,'Level 1- total summary'!J23=pres,'Level 1- total summary'!J24=pres),pres,SUM('Level 1- total summary'!J18:J24))</f>
        <v>Present?</v>
      </c>
      <c r="H7" s="447" t="str">
        <f>IF(OR('Level 1- total summary'!K18=pres,'Level 1- total summary'!K19=pres,'Level 1- total summary'!K20=pres,'Level 1- total summary'!K21=pres,'Level 1- total summary'!K22=pres,'Level 1- total summary'!K23=pres,'Level 1- total summary'!K24=pres),pres,SUM('Level 1- total summary'!K18:K24))</f>
        <v>Present?</v>
      </c>
      <c r="I7" s="501">
        <f t="shared" si="0"/>
        <v>0</v>
      </c>
      <c r="J7" s="503" t="e">
        <f t="shared" si="1"/>
        <v>#DIV/0!</v>
      </c>
      <c r="L7" s="507"/>
      <c r="N7" s="482"/>
    </row>
    <row r="8" spans="1:12" ht="12.75">
      <c r="A8" s="382" t="s">
        <v>511</v>
      </c>
      <c r="B8" s="447" t="str">
        <f>IF(OR('Level 1- total summary'!E25=pres,'Level 1- total summary'!E26=pres),pres,SUM('Level 1- total summary'!E25:E26))</f>
        <v>Present?</v>
      </c>
      <c r="C8" s="447" t="str">
        <f>IF(OR('Level 1- total summary'!F25=pres,'Level 1- total summary'!F26=pres),pres,SUM('Level 1- total summary'!F25:F26))</f>
        <v>Present?</v>
      </c>
      <c r="D8" s="447" t="str">
        <f>IF(OR('Level 1- total summary'!G25=pres,'Level 1- total summary'!G26=pres),pres,SUM('Level 1- total summary'!G25:G26))</f>
        <v>Present?</v>
      </c>
      <c r="E8" s="447" t="str">
        <f>IF(OR('Level 1- total summary'!H25=pres,'Level 1- total summary'!H26=pres),pres,SUM('Level 1- total summary'!H25:H26))</f>
        <v>Present?</v>
      </c>
      <c r="F8" s="447" t="str">
        <f>IF(OR('Level 1- total summary'!I25=pres,'Level 1- total summary'!I26=pres),pres,SUM('Level 1- total summary'!I25:I26))</f>
        <v>Present?</v>
      </c>
      <c r="G8" s="447" t="str">
        <f>IF(OR('Level 1- total summary'!J25=pres,'Level 1- total summary'!J26=pres),pres,SUM('Level 1- total summary'!J25:J26))</f>
        <v>Present?</v>
      </c>
      <c r="H8" s="447" t="str">
        <f>IF(OR('Level 1- total summary'!K25=pres,'Level 1- total summary'!K26=pres),pres,SUM('Level 1- total summary'!K25:K26))</f>
        <v>Present?</v>
      </c>
      <c r="I8" s="501">
        <f t="shared" si="0"/>
        <v>0</v>
      </c>
      <c r="J8" s="503" t="e">
        <f t="shared" si="1"/>
        <v>#DIV/0!</v>
      </c>
      <c r="L8" s="507"/>
    </row>
    <row r="9" spans="1:14" ht="12.75">
      <c r="A9" s="382" t="s">
        <v>462</v>
      </c>
      <c r="B9" s="447" t="str">
        <f>IF(OR('Level 1- total summary'!E28=pres,'Level 1- total summary'!E29=pres),pres,SUM('Level 1- total summary'!E28:E29))</f>
        <v>Present?</v>
      </c>
      <c r="C9" s="447" t="str">
        <f>IF(OR('Level 1- total summary'!F28=pres,'Level 1- total summary'!F29=pres),pres,SUM('Level 1- total summary'!F28:F29))</f>
        <v>Present?</v>
      </c>
      <c r="D9" s="447" t="str">
        <f>IF(OR('Level 1- total summary'!G28=pres,'Level 1- total summary'!G29=pres),pres,SUM('Level 1- total summary'!G28:G29))</f>
        <v>Present?</v>
      </c>
      <c r="E9" s="447" t="str">
        <f>IF(OR('Level 1- total summary'!H28=pres,'Level 1- total summary'!H29=pres),pres,SUM('Level 1- total summary'!H28:H29))</f>
        <v>Present?</v>
      </c>
      <c r="F9" s="447" t="str">
        <f>IF(OR('Level 1- total summary'!I28=pres,'Level 1- total summary'!I29=pres),pres,SUM('Level 1- total summary'!I28:I29))</f>
        <v>Present?</v>
      </c>
      <c r="G9" s="447" t="str">
        <f>IF(OR('Level 1- total summary'!J28=pres,'Level 1- total summary'!J29=pres),pres,SUM('Level 1- total summary'!J28:J29))</f>
        <v>Present?</v>
      </c>
      <c r="H9" s="447" t="str">
        <f>IF(OR('Level 1- total summary'!K28=pres,'Level 1- total summary'!K29=pres),pres,SUM('Level 1- total summary'!K28:K29))</f>
        <v>Present?</v>
      </c>
      <c r="I9" s="501">
        <f t="shared" si="0"/>
        <v>0</v>
      </c>
      <c r="J9" s="503" t="e">
        <f t="shared" si="1"/>
        <v>#DIV/0!</v>
      </c>
      <c r="L9" s="507"/>
      <c r="N9" s="507"/>
    </row>
    <row r="10" spans="1:12" ht="12.75">
      <c r="A10" s="382" t="s">
        <v>398</v>
      </c>
      <c r="B10" s="447" t="str">
        <f>'Level 1- total summary'!E31</f>
        <v>Present?</v>
      </c>
      <c r="C10" s="447" t="str">
        <f>'Level 1- total summary'!F31</f>
        <v>Present?</v>
      </c>
      <c r="D10" s="447" t="str">
        <f>'Level 1- total summary'!G31</f>
        <v>Present?</v>
      </c>
      <c r="E10" s="447" t="str">
        <f>'Level 1- total summary'!H31</f>
        <v>Present?</v>
      </c>
      <c r="F10" s="447" t="str">
        <f>'Level 1- total summary'!I31</f>
        <v>Present?</v>
      </c>
      <c r="G10" s="447" t="str">
        <f>'Level 1- total summary'!J31</f>
        <v>Present?</v>
      </c>
      <c r="H10" s="447" t="str">
        <f>'Level 1- total summary'!K31</f>
        <v>Present?</v>
      </c>
      <c r="I10" s="501">
        <f t="shared" si="0"/>
        <v>0</v>
      </c>
      <c r="J10" s="503" t="e">
        <f t="shared" si="1"/>
        <v>#DIV/0!</v>
      </c>
      <c r="L10" s="507"/>
    </row>
    <row r="11" spans="1:14" ht="12.75">
      <c r="A11" s="382" t="s">
        <v>512</v>
      </c>
      <c r="B11" s="447" t="str">
        <f>IF(OR('Level 1- total summary'!E32=pres,'Level 1- total summary'!E33=pres),pres,SUM('Level 1- total summary'!E32:E33))</f>
        <v>Present?</v>
      </c>
      <c r="C11" s="447" t="str">
        <f>IF(OR('Level 1- total summary'!F32=pres,'Level 1- total summary'!F33=pres),pres,SUM('Level 1- total summary'!F32:F33))</f>
        <v>Present?</v>
      </c>
      <c r="D11" s="447" t="str">
        <f>IF(OR('Level 1- total summary'!G32=pres,'Level 1- total summary'!G33=pres),pres,SUM('Level 1- total summary'!G32:G33))</f>
        <v>Present?</v>
      </c>
      <c r="E11" s="447" t="str">
        <f>IF(OR('Level 1- total summary'!H32=pres,'Level 1- total summary'!H33=pres),pres,SUM('Level 1- total summary'!H32:H33))</f>
        <v>Present?</v>
      </c>
      <c r="F11" s="447" t="str">
        <f>IF(OR('Level 1- total summary'!I32=pres,'Level 1- total summary'!I33=pres),pres,SUM('Level 1- total summary'!I32:I33))</f>
        <v>Present?</v>
      </c>
      <c r="G11" s="447" t="str">
        <f>IF(OR('Level 1- total summary'!J32=pres,'Level 1- total summary'!J33=pres),pres,SUM('Level 1- total summary'!J32:J33))</f>
        <v>Present?</v>
      </c>
      <c r="H11" s="447" t="str">
        <f>IF(OR('Level 1- total summary'!K32=pres,'Level 1- total summary'!K33=pres),pres,SUM('Level 1- total summary'!K32:K33))</f>
        <v>Present?</v>
      </c>
      <c r="I11" s="501">
        <f t="shared" si="0"/>
        <v>0</v>
      </c>
      <c r="J11" s="503" t="e">
        <f t="shared" si="1"/>
        <v>#DIV/0!</v>
      </c>
      <c r="L11" s="507"/>
      <c r="N11" s="507"/>
    </row>
    <row r="12" spans="1:12" ht="12.75">
      <c r="A12" s="382" t="s">
        <v>916</v>
      </c>
      <c r="B12" s="447" t="str">
        <f>IF(OR('Level 1- total summary'!E35=pres,'Level 1- total summary'!E36=pres,'Level 1- total summary'!E37=pres,'Level 1- total summary'!E38=pres,'Level 1- total summary'!E39=pres,'Level 1- total summary'!E40=pres,'Level 1- total summary'!E41=pres,'Level 1- total summary'!E42=pres),pres,SUM('Level 1- total summary'!E35:E42))</f>
        <v>Present?</v>
      </c>
      <c r="C12" s="447" t="str">
        <f>IF(OR('Level 1- total summary'!F35=pres,'Level 1- total summary'!F36=pres,'Level 1- total summary'!F37=pres,'Level 1- total summary'!F38=pres,'Level 1- total summary'!F39=pres,'Level 1- total summary'!F40=pres,'Level 1- total summary'!F41=pres,'Level 1- total summary'!F42=pres),pres,SUM('Level 1- total summary'!F35:F42))</f>
        <v>Present?</v>
      </c>
      <c r="D12" s="447" t="str">
        <f>IF(OR('Level 1- total summary'!G35=pres,'Level 1- total summary'!G36=pres,'Level 1- total summary'!G37=pres,'Level 1- total summary'!G38=pres,'Level 1- total summary'!G39=pres,'Level 1- total summary'!G40=pres,'Level 1- total summary'!G41=pres,'Level 1- total summary'!G42=pres),pres,SUM('Level 1- total summary'!G35:G42))</f>
        <v>Present?</v>
      </c>
      <c r="E12" s="447" t="str">
        <f>IF(OR('Level 1- total summary'!H35=pres,'Level 1- total summary'!H36=pres,'Level 1- total summary'!H37=pres,'Level 1- total summary'!H38=pres,'Level 1- total summary'!H39=pres,'Level 1- total summary'!H40=pres,'Level 1- total summary'!H41=pres,'Level 1- total summary'!H42=pres),pres,SUM('Level 1- total summary'!H35:H42))</f>
        <v>Present?</v>
      </c>
      <c r="F12" s="447" t="str">
        <f>IF(OR('Level 1- total summary'!I35=pres,'Level 1- total summary'!I36=pres,'Level 1- total summary'!I37=pres,'Level 1- total summary'!I38=pres,'Level 1- total summary'!I39=pres,'Level 1- total summary'!I40=pres,'Level 1- total summary'!I41=pres,'Level 1- total summary'!I42=pres),pres,SUM('Level 1- total summary'!I35:I42))</f>
        <v>Present?</v>
      </c>
      <c r="G12" s="447" t="str">
        <f>IF(OR('Level 1- total summary'!J35=pres,'Level 1- total summary'!J36=pres,'Level 1- total summary'!J37=pres,'Level 1- total summary'!J38=pres,'Level 1- total summary'!J39=pres,'Level 1- total summary'!J40=pres,'Level 1- total summary'!J41=pres,'Level 1- total summary'!J42=pres),pres,SUM('Level 1- total summary'!J35:J42))</f>
        <v>Present?</v>
      </c>
      <c r="H12" s="447" t="str">
        <f>IF(OR('Level 1- total summary'!K35=pres,'Level 1- total summary'!K36=pres,'Level 1- total summary'!K37=pres,'Level 1- total summary'!K38=pres,'Level 1- total summary'!K39=pres,'Level 1- total summary'!K40=pres,'Level 1- total summary'!K41=pres,'Level 1- total summary'!K42=pres),pres,SUM('Level 1- total summary'!K35:K42))</f>
        <v>Present?</v>
      </c>
      <c r="I12" s="501">
        <f t="shared" si="0"/>
        <v>0</v>
      </c>
      <c r="J12" s="503" t="e">
        <f t="shared" si="1"/>
        <v>#DIV/0!</v>
      </c>
      <c r="L12" s="507"/>
    </row>
    <row r="13" spans="1:12" ht="12.75">
      <c r="A13" s="382" t="s">
        <v>908</v>
      </c>
      <c r="B13" s="461" t="str">
        <f>'Level 1- total summary'!E44</f>
        <v>Present?</v>
      </c>
      <c r="C13" s="461" t="str">
        <f>'Level 1- total summary'!F44</f>
        <v>Present?</v>
      </c>
      <c r="D13" s="461" t="str">
        <f>'Level 1- total summary'!G44</f>
        <v>Present?</v>
      </c>
      <c r="E13" s="461" t="str">
        <f>'Level 1- total summary'!H44</f>
        <v>Present?</v>
      </c>
      <c r="F13" s="461" t="str">
        <f>'Level 1- total summary'!I44</f>
        <v>Present?</v>
      </c>
      <c r="G13" s="461" t="str">
        <f>'Level 1- total summary'!J44</f>
        <v>Present?</v>
      </c>
      <c r="H13" s="461" t="str">
        <f>'Level 1- total summary'!K44</f>
        <v>Present?</v>
      </c>
      <c r="I13" s="501">
        <f t="shared" si="0"/>
        <v>0</v>
      </c>
      <c r="J13" s="503" t="e">
        <f t="shared" si="1"/>
        <v>#DIV/0!</v>
      </c>
      <c r="L13" s="507"/>
    </row>
    <row r="14" spans="1:12" ht="12.75">
      <c r="A14" s="382" t="s">
        <v>513</v>
      </c>
      <c r="B14" s="447" t="str">
        <f>IF(OR('Level 1- total summary'!E45=pres,'Level 1- total summary'!E46=pres,'Level 1- total summary'!E47=pres,'Level 1- total summary'!E48=pres,'Level 1- total summary'!E49=pres,'Level 1- total summary'!E50=pres,'Level 1- total summary'!E51=pres,'Level 1- total summary'!E52=pres,'Level 1- total summary'!E53=pres,'Level 1- total summary'!E54=pres,'Level 1- total summary'!E55=pres),pres,SUM('Level 1- total summary'!E45:E55))</f>
        <v>Present?</v>
      </c>
      <c r="C14" s="447" t="str">
        <f>IF(OR('Level 1- total summary'!F45=pres,'Level 1- total summary'!F46=pres,'Level 1- total summary'!F47=pres,'Level 1- total summary'!F48=pres,'Level 1- total summary'!F49=pres,'Level 1- total summary'!F50=pres,'Level 1- total summary'!F51=pres,'Level 1- total summary'!F52=pres,'Level 1- total summary'!F53=pres,'Level 1- total summary'!F54=pres,'Level 1- total summary'!F55=pres),pres,SUM('Level 1- total summary'!F45:F55))</f>
        <v>Present?</v>
      </c>
      <c r="D14" s="447" t="str">
        <f>IF(OR('Level 1- total summary'!G45=pres,'Level 1- total summary'!G46=pres,'Level 1- total summary'!G47=pres,'Level 1- total summary'!G48=pres,'Level 1- total summary'!G49=pres,'Level 1- total summary'!G50=pres,'Level 1- total summary'!G51=pres,'Level 1- total summary'!G52=pres,'Level 1- total summary'!G53=pres,'Level 1- total summary'!G54=pres,'Level 1- total summary'!G55=pres),pres,SUM('Level 1- total summary'!G45:G55))</f>
        <v>Present?</v>
      </c>
      <c r="E14" s="447" t="str">
        <f>IF(OR('Level 1- total summary'!H45=pres,'Level 1- total summary'!H46=pres,'Level 1- total summary'!H47=pres,'Level 1- total summary'!H48=pres,'Level 1- total summary'!H49=pres,'Level 1- total summary'!H50=pres,'Level 1- total summary'!H51=pres,'Level 1- total summary'!H52=pres,'Level 1- total summary'!H53=pres,'Level 1- total summary'!H54=pres,'Level 1- total summary'!H55=pres),pres,SUM('Level 1- total summary'!H45:H55))</f>
        <v>Present?</v>
      </c>
      <c r="F14" s="447" t="str">
        <f>IF(OR('Level 1- total summary'!I45=pres,'Level 1- total summary'!I46=pres,'Level 1- total summary'!I47=pres,'Level 1- total summary'!I48=pres,'Level 1- total summary'!I49=pres,'Level 1- total summary'!I50=pres,'Level 1- total summary'!I51=pres,'Level 1- total summary'!I52=pres,'Level 1- total summary'!I53=pres,'Level 1- total summary'!I54=pres,'Level 1- total summary'!I55=pres),pres,SUM('Level 1- total summary'!I45:I55))</f>
        <v>Present?</v>
      </c>
      <c r="G14" s="447" t="str">
        <f>IF(OR('Level 1- total summary'!J45=pres,'Level 1- total summary'!J46=pres,'Level 1- total summary'!J47=pres,'Level 1- total summary'!J48=pres,'Level 1- total summary'!J49=pres,'Level 1- total summary'!J50=pres,'Level 1- total summary'!J51=pres,'Level 1- total summary'!J52=pres,'Level 1- total summary'!J53=pres,'Level 1- total summary'!J54=pres,'Level 1- total summary'!J55=pres),pres,SUM('Level 1- total summary'!J45:J55))</f>
        <v>Present?</v>
      </c>
      <c r="H14" s="447" t="str">
        <f>IF(OR('Level 1- total summary'!K45=pres,'Level 1- total summary'!K46=pres,'Level 1- total summary'!K47=pres,'Level 1- total summary'!K48=pres,'Level 1- total summary'!K49=pres,'Level 1- total summary'!K50=pres,'Level 1- total summary'!K51=pres,'Level 1- total summary'!K52=pres,'Level 1- total summary'!K53=pres,'Level 1- total summary'!K54=pres,'Level 1- total summary'!K55=pres),pres,SUM('Level 1- total summary'!K45:K55))</f>
        <v>Present?</v>
      </c>
      <c r="I14" s="501">
        <f t="shared" si="0"/>
        <v>0</v>
      </c>
      <c r="J14" s="503" t="e">
        <f t="shared" si="1"/>
        <v>#DIV/0!</v>
      </c>
      <c r="L14" s="507"/>
    </row>
    <row r="15" spans="1:12" ht="12.75">
      <c r="A15" s="382" t="s">
        <v>514</v>
      </c>
      <c r="B15" s="447" t="str">
        <f>IF(OR('Level 1- total summary'!E57=pres,'Level 1- total summary'!E58=pres),pres,SUM('Level 1- total summary'!E57:E58))</f>
        <v>Present?</v>
      </c>
      <c r="C15" s="447" t="str">
        <f>IF(OR('Level 1- total summary'!F57=pres,'Level 1- total summary'!F58=pres),pres,SUM('Level 1- total summary'!F57:F58))</f>
        <v>Present?</v>
      </c>
      <c r="D15" s="447" t="str">
        <f>IF(OR('Level 1- total summary'!G57=pres,'Level 1- total summary'!G58=pres),pres,SUM('Level 1- total summary'!G57:G58))</f>
        <v>Present?</v>
      </c>
      <c r="E15" s="447" t="str">
        <f>IF(OR('Level 1- total summary'!H57=pres,'Level 1- total summary'!H58=pres),pres,SUM('Level 1- total summary'!H57:H58))</f>
        <v>Present?</v>
      </c>
      <c r="F15" s="447" t="str">
        <f>IF(OR('Level 1- total summary'!I57=pres,'Level 1- total summary'!I58=pres),pres,SUM('Level 1- total summary'!I57:I58))</f>
        <v>Present?</v>
      </c>
      <c r="G15" s="447" t="str">
        <f>IF(OR('Level 1- total summary'!J57=pres,'Level 1- total summary'!J58=pres),pres,SUM('Level 1- total summary'!J57:J58))</f>
        <v>Present?</v>
      </c>
      <c r="H15" s="447" t="str">
        <f>IF(OR('Level 1- total summary'!K57=pres,'Level 1- total summary'!K58=pres),pres,SUM('Level 1- total summary'!K57:K58))</f>
        <v>Present?</v>
      </c>
      <c r="I15" s="501">
        <f t="shared" si="0"/>
        <v>0</v>
      </c>
      <c r="J15" s="503" t="e">
        <f t="shared" si="1"/>
        <v>#DIV/0!</v>
      </c>
      <c r="L15" s="507"/>
    </row>
    <row r="16" spans="1:10" ht="12.75">
      <c r="A16" s="382" t="s">
        <v>917</v>
      </c>
      <c r="B16" s="447" t="str">
        <f>IF(OR('Level 1- total summary'!E60=pres,'Level 1- total summary'!E61=pres,'Level 1- total summary'!E62=pres,'Level 1- total summary'!E63=pres,'Level 1- total summary'!E64=pres),pres,SUM('Level 1- total summary'!E60:E64))</f>
        <v>Present?</v>
      </c>
      <c r="C16" s="447" t="str">
        <f>IF(OR('Level 1- total summary'!F60=pres,'Level 1- total summary'!F61=pres,'Level 1- total summary'!F62=pres,'Level 1- total summary'!F63=pres,'Level 1- total summary'!F64=pres),pres,SUM('Level 1- total summary'!F60:F64))</f>
        <v>Present?</v>
      </c>
      <c r="D16" s="447" t="str">
        <f>IF(OR('Level 1- total summary'!G60=pres,'Level 1- total summary'!G61=pres,'Level 1- total summary'!G62=pres,'Level 1- total summary'!G63=pres,'Level 1- total summary'!G64=pres),pres,SUM('Level 1- total summary'!G60:G64))</f>
        <v>Present?</v>
      </c>
      <c r="E16" s="447" t="str">
        <f>IF(OR('Level 1- total summary'!H60=pres,'Level 1- total summary'!H61=pres,'Level 1- total summary'!H62=pres,'Level 1- total summary'!H63=pres,'Level 1- total summary'!H64=pres),pres,SUM('Level 1- total summary'!H60:H64))</f>
        <v>Present?</v>
      </c>
      <c r="F16" s="447" t="str">
        <f>IF(OR('Level 1- total summary'!I60=pres,'Level 1- total summary'!I61=pres,'Level 1- total summary'!I62=pres,'Level 1- total summary'!I63=pres,'Level 1- total summary'!I64=pres),pres,SUM('Level 1- total summary'!I60:I64))</f>
        <v>Present?</v>
      </c>
      <c r="G16" s="447" t="str">
        <f>IF(OR('Level 1- total summary'!J60=pres,'Level 1- total summary'!J61=pres,'Level 1- total summary'!J62=pres,'Level 1- total summary'!J63=pres,'Level 1- total summary'!J64=pres),pres,SUM('Level 1- total summary'!J60:J64))</f>
        <v>Present?</v>
      </c>
      <c r="H16" s="447" t="str">
        <f>IF(OR('Level 1- total summary'!K60=pres,'Level 1- total summary'!K61=pres,'Level 1- total summary'!K62=pres,'Level 1- total summary'!K63=pres,'Level 1- total summary'!K64=pres),pres,SUM('Level 1- total summary'!K60:K64))</f>
        <v>Present?</v>
      </c>
      <c r="I16" s="501">
        <f t="shared" si="0"/>
        <v>0</v>
      </c>
      <c r="J16" s="503" t="e">
        <f t="shared" si="1"/>
        <v>#DIV/0!</v>
      </c>
    </row>
    <row r="17" spans="1:12" ht="12.75">
      <c r="A17" s="382" t="s">
        <v>928</v>
      </c>
      <c r="B17" s="478" t="str">
        <f>'Level 1- total summary'!E66</f>
        <v>Present?</v>
      </c>
      <c r="C17" s="478" t="str">
        <f>'Level 1- total summary'!F66</f>
        <v>Present?</v>
      </c>
      <c r="D17" s="478" t="str">
        <f>'Level 1- total summary'!G66</f>
        <v>Present?</v>
      </c>
      <c r="E17" s="478" t="str">
        <f>'Level 1- total summary'!H66</f>
        <v>Present?</v>
      </c>
      <c r="F17" s="478" t="str">
        <f>'Level 1- total summary'!I66</f>
        <v>Present?</v>
      </c>
      <c r="G17" s="478" t="str">
        <f>'Level 1- total summary'!J66</f>
        <v>Present?</v>
      </c>
      <c r="H17" s="478" t="str">
        <f>'Level 1- total summary'!K66</f>
        <v>Present?</v>
      </c>
      <c r="I17" s="501">
        <f t="shared" si="0"/>
        <v>0</v>
      </c>
      <c r="J17" s="503" t="e">
        <f t="shared" si="1"/>
        <v>#DIV/0!</v>
      </c>
      <c r="L17" s="507"/>
    </row>
    <row r="18" spans="1:12" ht="12.75">
      <c r="A18" s="382" t="s">
        <v>918</v>
      </c>
      <c r="B18" s="627" t="str">
        <f>'Level 1- total summary'!E67</f>
        <v>Present?</v>
      </c>
      <c r="C18" s="627" t="str">
        <f>'Level 1- total summary'!F67</f>
        <v>Present?</v>
      </c>
      <c r="D18" s="627" t="str">
        <f>'Level 1- total summary'!G67</f>
        <v>Present?</v>
      </c>
      <c r="E18" s="627" t="str">
        <f>'Level 1- total summary'!H67</f>
        <v>Present?</v>
      </c>
      <c r="F18" s="627" t="str">
        <f>'Level 1- total summary'!I67</f>
        <v>Present?</v>
      </c>
      <c r="G18" s="627" t="str">
        <f>'Level 1- total summary'!J67</f>
        <v>Present?</v>
      </c>
      <c r="H18" s="627" t="str">
        <f>'Level 1- total summary'!K67</f>
        <v>Present?</v>
      </c>
      <c r="I18" s="464">
        <f>SUM(C18:H18)-IF(OR(E18="-",E18=que,E18=pres),0,E18)</f>
        <v>0</v>
      </c>
      <c r="J18" s="503" t="e">
        <f t="shared" si="1"/>
        <v>#DIV/0!</v>
      </c>
      <c r="L18" s="513"/>
    </row>
    <row r="19" spans="1:10" ht="12.75">
      <c r="A19" s="382" t="s">
        <v>919</v>
      </c>
      <c r="B19" s="627" t="str">
        <f>'Level 1- total summary'!E68</f>
        <v>Present?</v>
      </c>
      <c r="C19" s="627" t="str">
        <f>'Level 1- total summary'!F68</f>
        <v>Present?</v>
      </c>
      <c r="D19" s="627" t="str">
        <f>'Level 1- total summary'!G68</f>
        <v>Present?</v>
      </c>
      <c r="E19" s="627" t="str">
        <f>'Level 1- total summary'!H68</f>
        <v>Present?</v>
      </c>
      <c r="F19" s="627" t="str">
        <f>'Level 1- total summary'!I68</f>
        <v>Present?</v>
      </c>
      <c r="G19" s="627" t="str">
        <f>'Level 1- total summary'!J68</f>
        <v>Present?</v>
      </c>
      <c r="H19" s="627" t="str">
        <f>'Level 1- total summary'!K68</f>
        <v>Present?</v>
      </c>
      <c r="I19" s="464">
        <f>SUM(C19:H19)-IF(OR(D19="-",D19=que,D19=pres),0,D19)</f>
        <v>0</v>
      </c>
      <c r="J19" s="503" t="e">
        <f t="shared" si="1"/>
        <v>#DIV/0!</v>
      </c>
    </row>
    <row r="20" spans="1:10" ht="12.75">
      <c r="A20" s="382" t="s">
        <v>463</v>
      </c>
      <c r="B20" s="447" t="str">
        <f>IF(OR('Level 1- total summary'!E70=pres,'Level 1- total summary'!E71=pres),pres,SUM('Level 1- total summary'!E70:E71))</f>
        <v>Present?</v>
      </c>
      <c r="C20" s="447" t="str">
        <f>IF(OR('Level 1- total summary'!F70=pres,'Level 1- total summary'!F71=pres),pres,SUM('Level 1- total summary'!F70:F71))</f>
        <v>Present?</v>
      </c>
      <c r="D20" s="447" t="str">
        <f>IF(OR('Level 1- total summary'!G70=pres,'Level 1- total summary'!G71=pres),pres,SUM('Level 1- total summary'!G70:G71))</f>
        <v>Present?</v>
      </c>
      <c r="E20" s="447" t="str">
        <f>IF(OR('Level 1- total summary'!H70=pres,'Level 1- total summary'!H71=pres),pres,SUM('Level 1- total summary'!H70:H71))</f>
        <v>Present?</v>
      </c>
      <c r="F20" s="447" t="str">
        <f>IF(OR('Level 1- total summary'!I70=pres,'Level 1- total summary'!I71=pres),pres,SUM('Level 1- total summary'!I70:I71))</f>
        <v>Present?</v>
      </c>
      <c r="G20" s="447" t="str">
        <f>IF(OR('Level 1- total summary'!J70=pres,'Level 1- total summary'!J71=pres),pres,SUM('Level 1- total summary'!J70:J71))</f>
        <v>Present?</v>
      </c>
      <c r="H20" s="447" t="str">
        <f>IF(OR('Level 1- total summary'!K70=pres,'Level 1- total summary'!K71=pres),pres,SUM('Level 1- total summary'!K70:K71))</f>
        <v>Present?</v>
      </c>
      <c r="I20" s="464">
        <f t="shared" si="0"/>
        <v>0</v>
      </c>
      <c r="J20" s="503" t="e">
        <f t="shared" si="1"/>
        <v>#DIV/0!</v>
      </c>
    </row>
    <row r="21" spans="1:12" s="363" customFormat="1" ht="12.75">
      <c r="A21" s="269" t="s">
        <v>920</v>
      </c>
      <c r="B21" s="452">
        <f>ROUND(SUM(B4:B20)-(0.9*IF(OR(B16="-",B16=que,B16=pres),0,B16))-(0.9*IF(OR(B17="-",B17=que,B17=pres),0,B17))-(0.9*IF(OR(B18="-",B18=que,B18=pres),0,B18))-IF(OR(B19="-",B19=que,B19=pres),0,B19)+(-IF(OR(B12="-",B12=que,B12=pres),0,B12)+SUM(C12:H12))+(-IF(OR(B6="-",B6=que,B6=pres),0,B6)+SUM(C6:H6)),-1)</f>
        <v>0</v>
      </c>
      <c r="C21" s="452">
        <f>ROUND(SUM(C4:C20),-1)</f>
        <v>0</v>
      </c>
      <c r="D21" s="452">
        <f>ROUND(SUM(D4:D20)-IF(OR(D19="-",D19=que,D19=pres),0,D19),-1)</f>
        <v>0</v>
      </c>
      <c r="E21" s="452">
        <f>ROUND(SUM(E4:E20)-IF(OR(E18="-",E18=que,E18=pres),0,E18),-1)</f>
        <v>0</v>
      </c>
      <c r="F21" s="452">
        <f>ROUND(SUM(F4:F20),-1)</f>
        <v>0</v>
      </c>
      <c r="G21" s="452">
        <f>ROUND(SUM(G4:G20),-1)</f>
        <v>0</v>
      </c>
      <c r="H21" s="452">
        <f>ROUND(SUM(H4:H20),-1)</f>
        <v>0</v>
      </c>
      <c r="I21" s="452">
        <f>ROUND(SUM(I4:I20),-1)</f>
        <v>0</v>
      </c>
      <c r="J21" s="504" t="e">
        <f>SUM(J4:J20)</f>
        <v>#DIV/0!</v>
      </c>
      <c r="L21" s="507"/>
    </row>
    <row r="22" spans="1:9" ht="12.75">
      <c r="A22" s="329" t="s">
        <v>56</v>
      </c>
      <c r="C22" s="626"/>
      <c r="D22" s="626"/>
      <c r="E22" s="626"/>
      <c r="F22" s="626"/>
      <c r="G22" s="626"/>
      <c r="H22" s="626"/>
      <c r="I22" s="626"/>
    </row>
    <row r="23" spans="1:9" ht="12.75">
      <c r="A23" s="329" t="s">
        <v>927</v>
      </c>
      <c r="B23" s="329"/>
      <c r="C23" s="626"/>
      <c r="D23" s="626"/>
      <c r="E23" s="626"/>
      <c r="F23" s="626"/>
      <c r="G23" s="626"/>
      <c r="H23" s="626"/>
      <c r="I23" s="626"/>
    </row>
    <row r="24" spans="1:9" ht="12.75">
      <c r="A24" s="329" t="s">
        <v>926</v>
      </c>
      <c r="B24" s="329"/>
      <c r="C24" s="626"/>
      <c r="D24" s="626"/>
      <c r="E24" s="626"/>
      <c r="F24" s="626"/>
      <c r="G24" s="626"/>
      <c r="H24" s="626"/>
      <c r="I24" s="626"/>
    </row>
    <row r="25" ht="12.75">
      <c r="A25" s="329" t="s">
        <v>922</v>
      </c>
    </row>
    <row r="26" ht="12.75">
      <c r="A26" s="329" t="s">
        <v>910</v>
      </c>
    </row>
    <row r="27" ht="12.75">
      <c r="A27" s="346" t="s">
        <v>911</v>
      </c>
    </row>
    <row r="28" ht="12.75">
      <c r="A28" s="329" t="s">
        <v>923</v>
      </c>
    </row>
    <row r="29" ht="12.75">
      <c r="A29" s="329" t="s">
        <v>580</v>
      </c>
    </row>
    <row r="30" ht="12.75">
      <c r="A30" s="329" t="s">
        <v>924</v>
      </c>
    </row>
    <row r="31" ht="12.75">
      <c r="A31" s="329" t="s">
        <v>581</v>
      </c>
    </row>
    <row r="32" ht="12.75">
      <c r="A32" s="329" t="s">
        <v>925</v>
      </c>
    </row>
    <row r="33" ht="12.75">
      <c r="A33" s="346" t="s">
        <v>909</v>
      </c>
    </row>
  </sheetData>
  <sheetProtection password="83AF" sheet="1"/>
  <mergeCells count="3">
    <mergeCell ref="B2:B3"/>
    <mergeCell ref="C2:I2"/>
    <mergeCell ref="J2:J3"/>
  </mergeCells>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18.xml><?xml version="1.0" encoding="utf-8"?>
<worksheet xmlns="http://schemas.openxmlformats.org/spreadsheetml/2006/main" xmlns:r="http://schemas.openxmlformats.org/officeDocument/2006/relationships">
  <dimension ref="A1:R44"/>
  <sheetViews>
    <sheetView zoomScalePageLayoutView="0" workbookViewId="0" topLeftCell="A1">
      <selection activeCell="F15" sqref="F15"/>
    </sheetView>
  </sheetViews>
  <sheetFormatPr defaultColWidth="9.140625" defaultRowHeight="12.75"/>
  <cols>
    <col min="1" max="1" width="46.8515625" style="346" customWidth="1"/>
    <col min="2" max="2" width="19.421875" style="346" customWidth="1"/>
    <col min="3" max="3" width="12.8515625" style="346" customWidth="1"/>
    <col min="4" max="4" width="13.28125" style="346" customWidth="1"/>
    <col min="5" max="5" width="11.7109375" style="346" customWidth="1"/>
    <col min="6" max="6" width="13.8515625" style="346" customWidth="1"/>
    <col min="7" max="7" width="14.421875" style="346" customWidth="1"/>
    <col min="8" max="8" width="14.28125" style="346" customWidth="1"/>
    <col min="9" max="11" width="9.140625" style="346" customWidth="1"/>
    <col min="12" max="12" width="12.421875" style="346" customWidth="1"/>
    <col min="13" max="16384" width="9.140625" style="346" customWidth="1"/>
  </cols>
  <sheetData>
    <row r="1" spans="1:2" ht="12.75">
      <c r="A1" s="363" t="s">
        <v>1039</v>
      </c>
      <c r="B1" s="329"/>
    </row>
    <row r="2" ht="12.75">
      <c r="A2" s="329"/>
    </row>
    <row r="3" spans="1:2" ht="12.75">
      <c r="A3" s="329" t="s">
        <v>616</v>
      </c>
      <c r="B3" s="363"/>
    </row>
    <row r="4" spans="1:2" ht="12.75">
      <c r="A4" s="585" t="s">
        <v>598</v>
      </c>
      <c r="B4" s="363"/>
    </row>
    <row r="5" spans="1:2" ht="12.75">
      <c r="A5" s="363"/>
      <c r="B5" s="363"/>
    </row>
    <row r="6" spans="1:8" s="368" customFormat="1" ht="18.75" customHeight="1">
      <c r="A6" s="266" t="s">
        <v>323</v>
      </c>
      <c r="B6" s="695" t="s">
        <v>373</v>
      </c>
      <c r="C6" s="687" t="s">
        <v>379</v>
      </c>
      <c r="D6" s="688"/>
      <c r="E6" s="688"/>
      <c r="F6" s="688"/>
      <c r="G6" s="688"/>
      <c r="H6" s="689"/>
    </row>
    <row r="7" spans="1:8" ht="51">
      <c r="A7" s="530" t="s">
        <v>618</v>
      </c>
      <c r="B7" s="696"/>
      <c r="C7" s="273" t="s">
        <v>38</v>
      </c>
      <c r="D7" s="273" t="s">
        <v>39</v>
      </c>
      <c r="E7" s="273" t="s">
        <v>40</v>
      </c>
      <c r="F7" s="498" t="s">
        <v>521</v>
      </c>
      <c r="G7" s="498" t="s">
        <v>42</v>
      </c>
      <c r="H7" s="498" t="s">
        <v>380</v>
      </c>
    </row>
    <row r="8" spans="1:8" ht="12.75">
      <c r="A8" s="382" t="s">
        <v>509</v>
      </c>
      <c r="B8" s="464" t="str">
        <f>'Level 1-ExecSummary'!B4</f>
        <v>Present?</v>
      </c>
      <c r="C8" s="464" t="str">
        <f>'Level 1-ExecSummary'!C4</f>
        <v>Present?</v>
      </c>
      <c r="D8" s="464" t="str">
        <f>'Level 1-ExecSummary'!D4</f>
        <v>Present?</v>
      </c>
      <c r="E8" s="464" t="str">
        <f>'Level 1-ExecSummary'!E4</f>
        <v>Present?</v>
      </c>
      <c r="F8" s="464" t="str">
        <f>'Level 1-ExecSummary'!F4</f>
        <v>Present?</v>
      </c>
      <c r="G8" s="464" t="str">
        <f>'Level 1-ExecSummary'!G4</f>
        <v>Present?</v>
      </c>
      <c r="H8" s="464" t="str">
        <f>'Level 1-ExecSummary'!H4</f>
        <v>Present?</v>
      </c>
    </row>
    <row r="9" spans="1:8" ht="12.75">
      <c r="A9" s="380" t="s">
        <v>591</v>
      </c>
      <c r="B9" s="464" t="str">
        <f>'Level 1-ExecSummary'!B5</f>
        <v>Present?</v>
      </c>
      <c r="C9" s="464" t="str">
        <f>'Level 1-ExecSummary'!C5</f>
        <v>Present?</v>
      </c>
      <c r="D9" s="464" t="str">
        <f>'Level 1-ExecSummary'!D5</f>
        <v>Present?</v>
      </c>
      <c r="E9" s="464" t="str">
        <f>'Level 1-ExecSummary'!E5</f>
        <v>Present?</v>
      </c>
      <c r="F9" s="464" t="str">
        <f>'Level 1-ExecSummary'!F5</f>
        <v>Present?</v>
      </c>
      <c r="G9" s="464" t="str">
        <f>'Level 1-ExecSummary'!G5</f>
        <v>Present?</v>
      </c>
      <c r="H9" s="464" t="str">
        <f>'Level 1-ExecSummary'!H5</f>
        <v>Present?</v>
      </c>
    </row>
    <row r="10" spans="1:8" ht="12.75">
      <c r="A10" s="382" t="s">
        <v>519</v>
      </c>
      <c r="B10" s="464" t="str">
        <f>'Level 1-ExecSummary'!B6</f>
        <v>Present?</v>
      </c>
      <c r="C10" s="464" t="str">
        <f>'Level 1-ExecSummary'!C6</f>
        <v>Present?</v>
      </c>
      <c r="D10" s="464" t="str">
        <f>'Level 1-ExecSummary'!D6</f>
        <v>Present?</v>
      </c>
      <c r="E10" s="464" t="str">
        <f>'Level 1-ExecSummary'!E6</f>
        <v>Present?</v>
      </c>
      <c r="F10" s="464" t="str">
        <f>'Level 1-ExecSummary'!F6</f>
        <v>Present?</v>
      </c>
      <c r="G10" s="464" t="str">
        <f>'Level 1-ExecSummary'!G6</f>
        <v>Present?</v>
      </c>
      <c r="H10" s="464" t="str">
        <f>'Level 1-ExecSummary'!H6</f>
        <v>Present?</v>
      </c>
    </row>
    <row r="11" spans="1:8" ht="25.5">
      <c r="A11" s="382" t="s">
        <v>520</v>
      </c>
      <c r="B11" s="464" t="str">
        <f>'Level 1-ExecSummary'!B7</f>
        <v>Present?</v>
      </c>
      <c r="C11" s="464" t="str">
        <f>'Level 1-ExecSummary'!C7</f>
        <v>Present?</v>
      </c>
      <c r="D11" s="464" t="str">
        <f>'Level 1-ExecSummary'!D7</f>
        <v>Present?</v>
      </c>
      <c r="E11" s="464" t="str">
        <f>'Level 1-ExecSummary'!E7</f>
        <v>Present?</v>
      </c>
      <c r="F11" s="464" t="str">
        <f>'Level 1-ExecSummary'!F7</f>
        <v>Present?</v>
      </c>
      <c r="G11" s="464" t="str">
        <f>'Level 1-ExecSummary'!G7</f>
        <v>Present?</v>
      </c>
      <c r="H11" s="464" t="str">
        <f>'Level 1-ExecSummary'!H7</f>
        <v>Present?</v>
      </c>
    </row>
    <row r="12" spans="1:8" ht="12.75">
      <c r="A12" s="382" t="s">
        <v>511</v>
      </c>
      <c r="B12" s="464" t="str">
        <f>'Level 1-ExecSummary'!B8</f>
        <v>Present?</v>
      </c>
      <c r="C12" s="464" t="str">
        <f>'Level 1-ExecSummary'!C8</f>
        <v>Present?</v>
      </c>
      <c r="D12" s="464" t="str">
        <f>'Level 1-ExecSummary'!D8</f>
        <v>Present?</v>
      </c>
      <c r="E12" s="464" t="str">
        <f>'Level 1-ExecSummary'!E8</f>
        <v>Present?</v>
      </c>
      <c r="F12" s="464" t="str">
        <f>'Level 1-ExecSummary'!F8</f>
        <v>Present?</v>
      </c>
      <c r="G12" s="464" t="str">
        <f>'Level 1-ExecSummary'!G8</f>
        <v>Present?</v>
      </c>
      <c r="H12" s="464" t="str">
        <f>'Level 1-ExecSummary'!H8</f>
        <v>Present?</v>
      </c>
    </row>
    <row r="13" spans="1:8" ht="12.75">
      <c r="A13" s="382" t="s">
        <v>592</v>
      </c>
      <c r="B13" s="464" t="str">
        <f>'Level 1-ExecSummary'!B9</f>
        <v>Present?</v>
      </c>
      <c r="C13" s="464" t="str">
        <f>'Level 1-ExecSummary'!C9</f>
        <v>Present?</v>
      </c>
      <c r="D13" s="464" t="str">
        <f>'Level 1-ExecSummary'!D9</f>
        <v>Present?</v>
      </c>
      <c r="E13" s="464" t="str">
        <f>'Level 1-ExecSummary'!E9</f>
        <v>Present?</v>
      </c>
      <c r="F13" s="464" t="str">
        <f>'Level 1-ExecSummary'!F9</f>
        <v>Present?</v>
      </c>
      <c r="G13" s="464" t="str">
        <f>'Level 1-ExecSummary'!G9</f>
        <v>Present?</v>
      </c>
      <c r="H13" s="464" t="str">
        <f>'Level 1-ExecSummary'!H9</f>
        <v>Present?</v>
      </c>
    </row>
    <row r="14" spans="1:8" ht="12.75">
      <c r="A14" s="382" t="s">
        <v>398</v>
      </c>
      <c r="B14" s="464" t="str">
        <f>'Level 1-ExecSummary'!B10</f>
        <v>Present?</v>
      </c>
      <c r="C14" s="464" t="str">
        <f>'Level 1-ExecSummary'!C10</f>
        <v>Present?</v>
      </c>
      <c r="D14" s="464" t="str">
        <f>'Level 1-ExecSummary'!D10</f>
        <v>Present?</v>
      </c>
      <c r="E14" s="464" t="str">
        <f>'Level 1-ExecSummary'!E10</f>
        <v>Present?</v>
      </c>
      <c r="F14" s="464" t="str">
        <f>'Level 1-ExecSummary'!F10</f>
        <v>Present?</v>
      </c>
      <c r="G14" s="464" t="str">
        <f>'Level 1-ExecSummary'!G10</f>
        <v>Present?</v>
      </c>
      <c r="H14" s="464" t="str">
        <f>'Level 1-ExecSummary'!H10</f>
        <v>Present?</v>
      </c>
    </row>
    <row r="15" spans="1:8" ht="12.75">
      <c r="A15" s="382" t="s">
        <v>593</v>
      </c>
      <c r="B15" s="464" t="str">
        <f>'Level 1-ExecSummary'!B11</f>
        <v>Present?</v>
      </c>
      <c r="C15" s="464" t="str">
        <f>'Level 1-ExecSummary'!C11</f>
        <v>Present?</v>
      </c>
      <c r="D15" s="464" t="str">
        <f>'Level 1-ExecSummary'!D11</f>
        <v>Present?</v>
      </c>
      <c r="E15" s="464" t="str">
        <f>'Level 1-ExecSummary'!E11</f>
        <v>Present?</v>
      </c>
      <c r="F15" s="464" t="str">
        <f>'Level 1-ExecSummary'!F11</f>
        <v>Present?</v>
      </c>
      <c r="G15" s="464" t="str">
        <f>'Level 1-ExecSummary'!G11</f>
        <v>Present?</v>
      </c>
      <c r="H15" s="464" t="str">
        <f>'Level 1-ExecSummary'!H11</f>
        <v>Present?</v>
      </c>
    </row>
    <row r="16" spans="1:8" ht="12.75">
      <c r="A16" s="382" t="s">
        <v>401</v>
      </c>
      <c r="B16" s="464" t="str">
        <f>'Level 1-ExecSummary'!B12</f>
        <v>Present?</v>
      </c>
      <c r="C16" s="464" t="str">
        <f>'Level 1-ExecSummary'!C12</f>
        <v>Present?</v>
      </c>
      <c r="D16" s="464" t="str">
        <f>'Level 1-ExecSummary'!D12</f>
        <v>Present?</v>
      </c>
      <c r="E16" s="464" t="str">
        <f>'Level 1-ExecSummary'!E12</f>
        <v>Present?</v>
      </c>
      <c r="F16" s="464" t="str">
        <f>'Level 1-ExecSummary'!F12</f>
        <v>Present?</v>
      </c>
      <c r="G16" s="464" t="str">
        <f>'Level 1-ExecSummary'!G12</f>
        <v>Present?</v>
      </c>
      <c r="H16" s="464" t="str">
        <f>'Level 1-ExecSummary'!H12</f>
        <v>Present?</v>
      </c>
    </row>
    <row r="17" spans="1:8" ht="12.75">
      <c r="A17" s="382" t="s">
        <v>531</v>
      </c>
      <c r="B17" s="464" t="str">
        <f>'Level 1-ExecSummary'!B13</f>
        <v>Present?</v>
      </c>
      <c r="C17" s="464" t="str">
        <f>'Level 1-ExecSummary'!C13</f>
        <v>Present?</v>
      </c>
      <c r="D17" s="464" t="str">
        <f>'Level 1-ExecSummary'!D13</f>
        <v>Present?</v>
      </c>
      <c r="E17" s="464" t="str">
        <f>'Level 1-ExecSummary'!E13</f>
        <v>Present?</v>
      </c>
      <c r="F17" s="464" t="str">
        <f>'Level 1-ExecSummary'!F13</f>
        <v>Present?</v>
      </c>
      <c r="G17" s="464" t="str">
        <f>'Level 1-ExecSummary'!G13</f>
        <v>Present?</v>
      </c>
      <c r="H17" s="464" t="str">
        <f>'Level 1-ExecSummary'!H13</f>
        <v>Present?</v>
      </c>
    </row>
    <row r="18" spans="1:8" ht="12.75">
      <c r="A18" s="382" t="s">
        <v>594</v>
      </c>
      <c r="B18" s="464" t="str">
        <f>'Level 1-ExecSummary'!B14</f>
        <v>Present?</v>
      </c>
      <c r="C18" s="464" t="str">
        <f>'Level 1-ExecSummary'!C14</f>
        <v>Present?</v>
      </c>
      <c r="D18" s="464" t="str">
        <f>'Level 1-ExecSummary'!D14</f>
        <v>Present?</v>
      </c>
      <c r="E18" s="464" t="str">
        <f>'Level 1-ExecSummary'!E14</f>
        <v>Present?</v>
      </c>
      <c r="F18" s="464" t="str">
        <f>'Level 1-ExecSummary'!F14</f>
        <v>Present?</v>
      </c>
      <c r="G18" s="464" t="str">
        <f>'Level 1-ExecSummary'!G14</f>
        <v>Present?</v>
      </c>
      <c r="H18" s="464" t="str">
        <f>'Level 1-ExecSummary'!H14</f>
        <v>Present?</v>
      </c>
    </row>
    <row r="19" spans="1:8" ht="12.75">
      <c r="A19" s="382" t="s">
        <v>514</v>
      </c>
      <c r="B19" s="464" t="str">
        <f>'Level 1-ExecSummary'!B15</f>
        <v>Present?</v>
      </c>
      <c r="C19" s="464" t="str">
        <f>'Level 1-ExecSummary'!C15</f>
        <v>Present?</v>
      </c>
      <c r="D19" s="464" t="str">
        <f>'Level 1-ExecSummary'!D15</f>
        <v>Present?</v>
      </c>
      <c r="E19" s="464" t="str">
        <f>'Level 1-ExecSummary'!E15</f>
        <v>Present?</v>
      </c>
      <c r="F19" s="464" t="str">
        <f>'Level 1-ExecSummary'!F15</f>
        <v>Present?</v>
      </c>
      <c r="G19" s="464" t="str">
        <f>'Level 1-ExecSummary'!G15</f>
        <v>Present?</v>
      </c>
      <c r="H19" s="464" t="str">
        <f>'Level 1-ExecSummary'!H15</f>
        <v>Present?</v>
      </c>
    </row>
    <row r="20" spans="1:8" ht="12.75">
      <c r="A20" s="382" t="s">
        <v>584</v>
      </c>
      <c r="B20" s="464" t="str">
        <f>IF(OR('Level 1- total summary'!E60=pres,'Level 1- total summary'!E61=pres,'Level 1- total summary'!E62=pres,'Level 1- total summary'!E63=pres,'Level 1- total summary'!E64=pres),pres,0.1*SUM('Level 1- total summary'!E60:E64))</f>
        <v>Present?</v>
      </c>
      <c r="C20" s="464" t="str">
        <f>'Level 1-ExecSummary'!C16</f>
        <v>Present?</v>
      </c>
      <c r="D20" s="464" t="str">
        <f>'Level 1-ExecSummary'!D16</f>
        <v>Present?</v>
      </c>
      <c r="E20" s="464" t="str">
        <f>'Level 1-ExecSummary'!E16</f>
        <v>Present?</v>
      </c>
      <c r="F20" s="464" t="str">
        <f>'Level 1-ExecSummary'!F16</f>
        <v>Present?</v>
      </c>
      <c r="G20" s="464" t="str">
        <f>'Level 1-ExecSummary'!G16</f>
        <v>Present?</v>
      </c>
      <c r="H20" s="464" t="str">
        <f>'Level 1-ExecSummary'!H16</f>
        <v>Present?</v>
      </c>
    </row>
    <row r="21" spans="1:8" ht="12.75">
      <c r="A21" s="382" t="s">
        <v>563</v>
      </c>
      <c r="B21" s="464">
        <f>0.1*IF(OR('Level 1- total summary'!E66="-",'Level 1- total summary'!E66=que,'Level 1- total summary'!E66=pres),0,'Level 1- total summary'!E66)</f>
        <v>0</v>
      </c>
      <c r="C21" s="464" t="str">
        <f>'Level 1-ExecSummary'!C17</f>
        <v>Present?</v>
      </c>
      <c r="D21" s="464" t="str">
        <f>'Level 1-ExecSummary'!D17</f>
        <v>Present?</v>
      </c>
      <c r="E21" s="464" t="str">
        <f>'Level 1-ExecSummary'!E17</f>
        <v>Present?</v>
      </c>
      <c r="F21" s="464" t="str">
        <f>IF('Level 1- total summary'!I66="-",0,'Level 1- total summary'!I66)</f>
        <v>Present?</v>
      </c>
      <c r="G21" s="464" t="str">
        <f>IF('Level 1- total summary'!J66="-",0,'Level 1- total summary'!J66)</f>
        <v>Present?</v>
      </c>
      <c r="H21" s="464" t="str">
        <f>IF('Level 1- total summary'!K66="-",0,'Level 1- total summary'!K66)</f>
        <v>Present?</v>
      </c>
    </row>
    <row r="22" spans="1:8" ht="12.75">
      <c r="A22" s="382" t="s">
        <v>582</v>
      </c>
      <c r="B22" s="685">
        <f>0.1*IF(OR('Step5-Waste treatment+recycling'!E21="-",'Step5-Waste treatment+recycling'!E21=que,'Step5-Waste treatment+recycling'!E21=pres),0,'Step5-Waste treatment+recycling'!E21)</f>
        <v>0</v>
      </c>
      <c r="C22" s="464" t="str">
        <f>'Level 1-ExecSummary'!C18</f>
        <v>Present?</v>
      </c>
      <c r="D22" s="464" t="str">
        <f>'Level 1-ExecSummary'!D18</f>
        <v>Present?</v>
      </c>
      <c r="E22" s="464" t="str">
        <f>'Level 1-ExecSummary'!E18</f>
        <v>Present?</v>
      </c>
      <c r="F22" s="685" t="str">
        <f>IF('Step5-Waste treatment+recycling'!I21="-",0,'Step5-Waste treatment+recycling'!I21)</f>
        <v>Present?</v>
      </c>
      <c r="G22" s="685" t="str">
        <f>IF('Step5-Waste treatment+recycling'!J21="-",0,'Step5-Waste treatment+recycling'!J21)</f>
        <v>Present?</v>
      </c>
      <c r="H22" s="685" t="str">
        <f>IF('Step5-Waste treatment+recycling'!K21="-",0,'Step5-Waste treatment+recycling'!K21)</f>
        <v>Present?</v>
      </c>
    </row>
    <row r="23" spans="1:8" ht="12.75">
      <c r="A23" s="382" t="s">
        <v>559</v>
      </c>
      <c r="B23" s="685">
        <f>0*IF(OR('Step5-Waste treatment+recycling'!E23="-",'Step5-Waste treatment+recycling'!E23=que,'Step5-Waste treatment+recycling'!E23=pres),0,'Step5-Waste treatment+recycling'!E23)</f>
        <v>0</v>
      </c>
      <c r="C23" s="464" t="str">
        <f>'Level 1-ExecSummary'!C19</f>
        <v>Present?</v>
      </c>
      <c r="D23" s="464" t="str">
        <f>'Level 1-ExecSummary'!D19</f>
        <v>Present?</v>
      </c>
      <c r="E23" s="464" t="str">
        <f>'Level 1-ExecSummary'!E19</f>
        <v>Present?</v>
      </c>
      <c r="F23" s="464" t="str">
        <f>'Level 1-ExecSummary'!F19</f>
        <v>Present?</v>
      </c>
      <c r="G23" s="464" t="str">
        <f>'Level 1-ExecSummary'!G19</f>
        <v>Present?</v>
      </c>
      <c r="H23" s="464" t="str">
        <f>'Level 1-ExecSummary'!H19</f>
        <v>Present?</v>
      </c>
    </row>
    <row r="24" spans="1:8" ht="12.75">
      <c r="A24" s="382" t="s">
        <v>463</v>
      </c>
      <c r="B24" s="464" t="str">
        <f>IF(OR('Level 1- total summary'!E70=pres,'Level 1- total summary'!E71=pres),pres,SUM('Level 1- total summary'!E70:E71))</f>
        <v>Present?</v>
      </c>
      <c r="C24" s="464" t="str">
        <f>'Level 1-ExecSummary'!C20</f>
        <v>Present?</v>
      </c>
      <c r="D24" s="464" t="str">
        <f>'Level 1-ExecSummary'!D20</f>
        <v>Present?</v>
      </c>
      <c r="E24" s="464" t="str">
        <f>'Level 1-ExecSummary'!E20</f>
        <v>Present?</v>
      </c>
      <c r="F24" s="464" t="str">
        <f>'Level 1-ExecSummary'!F20</f>
        <v>Present?</v>
      </c>
      <c r="G24" s="464" t="str">
        <f>'Level 1-ExecSummary'!G20</f>
        <v>Present?</v>
      </c>
      <c r="H24" s="464" t="str">
        <f>'Level 1-ExecSummary'!H20</f>
        <v>Present?</v>
      </c>
    </row>
    <row r="25" spans="1:18" s="363" customFormat="1" ht="12.75">
      <c r="A25" s="269" t="s">
        <v>599</v>
      </c>
      <c r="B25" s="452">
        <f>ROUND(SUM(B8:B24),-1)</f>
        <v>0</v>
      </c>
      <c r="C25" s="452">
        <f>ROUND(SUM(C8:C24),-1)</f>
        <v>0</v>
      </c>
      <c r="D25" s="452">
        <f>ROUND(SUM(D8:D24)-IF(OR(D23="-",D23=que,D23=pres),0,D23),-1)</f>
        <v>0</v>
      </c>
      <c r="E25" s="452">
        <f>ROUND(SUM(E8:E24)-IF(OR(E22="-",E22=que,E22=pres),0,E22),-1)</f>
        <v>0</v>
      </c>
      <c r="F25" s="452">
        <f>ROUND(SUM(F8:F24),-1)</f>
        <v>0</v>
      </c>
      <c r="G25" s="452">
        <f>ROUND(SUM(G8:G24),-1)</f>
        <v>0</v>
      </c>
      <c r="H25" s="452">
        <f>ROUND(SUM(H8:H24),-1)</f>
        <v>0</v>
      </c>
      <c r="J25" s="346"/>
      <c r="K25" s="346"/>
      <c r="L25" s="346"/>
      <c r="M25" s="346"/>
      <c r="N25" s="346"/>
      <c r="O25" s="346"/>
      <c r="P25" s="346"/>
      <c r="Q25" s="346"/>
      <c r="R25" s="346"/>
    </row>
    <row r="26" spans="1:8" s="363" customFormat="1" ht="12.75">
      <c r="A26" s="499"/>
      <c r="B26" s="500"/>
      <c r="C26" s="500"/>
      <c r="D26" s="500"/>
      <c r="E26" s="500"/>
      <c r="F26" s="500"/>
      <c r="G26" s="500"/>
      <c r="H26" s="500"/>
    </row>
    <row r="27" spans="1:2" ht="12.75">
      <c r="A27" s="585" t="s">
        <v>615</v>
      </c>
      <c r="B27" s="329"/>
    </row>
    <row r="28" ht="12.75">
      <c r="A28" s="329" t="s">
        <v>611</v>
      </c>
    </row>
    <row r="29" ht="12.75">
      <c r="A29" s="329" t="s">
        <v>612</v>
      </c>
    </row>
    <row r="30" ht="12.75">
      <c r="A30" s="329" t="s">
        <v>610</v>
      </c>
    </row>
    <row r="31" ht="12.75">
      <c r="A31" s="329" t="s">
        <v>605</v>
      </c>
    </row>
    <row r="32" ht="12.75">
      <c r="A32" s="329" t="s">
        <v>606</v>
      </c>
    </row>
    <row r="33" ht="12.75">
      <c r="A33" s="329" t="s">
        <v>613</v>
      </c>
    </row>
    <row r="34" ht="12.75">
      <c r="A34" s="329" t="s">
        <v>614</v>
      </c>
    </row>
    <row r="35" ht="12.75">
      <c r="A35" s="329" t="s">
        <v>607</v>
      </c>
    </row>
    <row r="36" ht="12.75">
      <c r="A36" s="346" t="s">
        <v>595</v>
      </c>
    </row>
    <row r="37" ht="12.75">
      <c r="A37" s="346" t="s">
        <v>596</v>
      </c>
    </row>
    <row r="38" spans="1:6" ht="12.75">
      <c r="A38" s="329" t="s">
        <v>597</v>
      </c>
      <c r="F38" s="329"/>
    </row>
    <row r="39" ht="12.75">
      <c r="A39" s="329" t="s">
        <v>608</v>
      </c>
    </row>
    <row r="40" ht="12.75">
      <c r="A40" s="329" t="s">
        <v>609</v>
      </c>
    </row>
    <row r="41" ht="12.75">
      <c r="A41" s="585" t="s">
        <v>617</v>
      </c>
    </row>
    <row r="42" ht="12.75">
      <c r="A42" s="585" t="s">
        <v>604</v>
      </c>
    </row>
    <row r="44" ht="12.75">
      <c r="A44" s="329" t="s">
        <v>1035</v>
      </c>
    </row>
  </sheetData>
  <sheetProtection password="83AF" sheet="1"/>
  <mergeCells count="2">
    <mergeCell ref="B6:B7"/>
    <mergeCell ref="C6:H6"/>
  </mergeCells>
  <printOptions/>
  <pageMargins left="0.3937007874015748" right="0.3937007874015748" top="0.7480314960629921" bottom="0.7480314960629921" header="0.31496062992125984" footer="0.31496062992125984"/>
  <pageSetup horizontalDpi="600" verticalDpi="600" orientation="landscape" paperSize="9" r:id="rId2"/>
  <headerFooter>
    <oddFooter>&amp;L&amp;A
Printed &amp;D</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76"/>
  <sheetViews>
    <sheetView zoomScalePageLayoutView="0" workbookViewId="0" topLeftCell="A1">
      <selection activeCell="A61" sqref="A61"/>
    </sheetView>
  </sheetViews>
  <sheetFormatPr defaultColWidth="9.140625" defaultRowHeight="12.75"/>
  <cols>
    <col min="1" max="1" width="48.57421875" style="346" customWidth="1"/>
    <col min="2" max="2" width="16.7109375" style="367" customWidth="1"/>
    <col min="3" max="16384" width="9.140625" style="346" customWidth="1"/>
  </cols>
  <sheetData>
    <row r="1" spans="1:2" ht="12.75">
      <c r="A1" s="363" t="s">
        <v>522</v>
      </c>
      <c r="B1" s="364"/>
    </row>
    <row r="2" spans="1:2" s="368" customFormat="1" ht="38.25" customHeight="1">
      <c r="A2" s="266" t="s">
        <v>323</v>
      </c>
      <c r="B2" s="455" t="s">
        <v>381</v>
      </c>
    </row>
    <row r="3" spans="1:2" ht="12.75">
      <c r="A3" s="438"/>
      <c r="B3" s="351" t="str">
        <f>quest</f>
        <v>Y/N/?</v>
      </c>
    </row>
    <row r="4" spans="1:2" ht="12.75">
      <c r="A4" s="408" t="str">
        <f>'Step2-Energy'!A4</f>
        <v>Energy consumption</v>
      </c>
      <c r="B4" s="381"/>
    </row>
    <row r="5" spans="1:2" ht="12.75">
      <c r="A5" s="266" t="str">
        <f>'Step2-Energy'!A5</f>
        <v>Coal combustion in large power plants</v>
      </c>
      <c r="B5" s="272" t="str">
        <f>IF(OR('Step2-Energy'!B5=yes,'Step2-Energy'!B5=no,'Step2-Energy'!B5=que),'Step2-Energy'!B5,pres)</f>
        <v>Present?</v>
      </c>
    </row>
    <row r="6" spans="1:2" ht="12.75">
      <c r="A6" s="266" t="str">
        <f>'Step2-Energy'!A6</f>
        <v>Other coal uses</v>
      </c>
      <c r="B6" s="272" t="str">
        <f>IF(OR('Step2-Energy'!B6=yes,'Step2-Energy'!B6=no,'Step2-Energy'!B6=que),'Step2-Energy'!B6,pres)</f>
        <v>Present?</v>
      </c>
    </row>
    <row r="7" spans="1:2" ht="12.75">
      <c r="A7" s="266" t="str">
        <f>'Step2-Energy'!A7</f>
        <v>Combustion/use of petroleum coke and heavy oil</v>
      </c>
      <c r="B7" s="272" t="str">
        <f>IF(OR('Step2-Energy'!B7=yes,'Step2-Energy'!B7=no,'Step2-Energy'!B7=que),'Step2-Energy'!B7,pres)</f>
        <v>Present?</v>
      </c>
    </row>
    <row r="8" spans="1:2" ht="15.75" customHeight="1">
      <c r="A8" s="266" t="str">
        <f>'Step2-Energy'!A8</f>
        <v>Combustion/use of diesel, gasoil, petroleum, kerosene</v>
      </c>
      <c r="B8" s="272" t="str">
        <f>IF(OR('Step2-Energy'!B8=yes,'Step2-Energy'!B8=no,'Step2-Energy'!B8=que),'Step2-Energy'!B8,pres)</f>
        <v>Present?</v>
      </c>
    </row>
    <row r="9" spans="1:2" ht="15.75" customHeight="1">
      <c r="A9" s="266" t="str">
        <f>'Step2-Energy'!A9</f>
        <v>Use of raw or pre-cleaned natural gas</v>
      </c>
      <c r="B9" s="272" t="str">
        <f>IF(OR('Step2-Energy'!B9=yes,'Step2-Energy'!B9=no,'Step2-Energy'!B9=que),'Step2-Energy'!B9,pres)</f>
        <v>Present?</v>
      </c>
    </row>
    <row r="10" spans="1:2" ht="15.75" customHeight="1">
      <c r="A10" s="266" t="str">
        <f>'Step2-Energy'!A10</f>
        <v>Use of pipeline gas (consumer quality)</v>
      </c>
      <c r="B10" s="272" t="str">
        <f>IF(OR('Step2-Energy'!B10=yes,'Step2-Energy'!B10=no,'Step2-Energy'!B10=que),'Step2-Energy'!B10,pres)</f>
        <v>Present?</v>
      </c>
    </row>
    <row r="11" spans="1:2" ht="12.75">
      <c r="A11" s="266" t="str">
        <f>'Step2-Energy'!A11</f>
        <v>Biomass fired power and heat production</v>
      </c>
      <c r="B11" s="272" t="str">
        <f>IF(OR('Step2-Energy'!B11=yes,'Step2-Energy'!B11=no,'Step2-Energy'!B11=que),'Step2-Energy'!B11,pres)</f>
        <v>Present?</v>
      </c>
    </row>
    <row r="12" spans="1:2" ht="12.75">
      <c r="A12" s="266" t="str">
        <f>'Step2-Energy'!A12</f>
        <v>Charcoal combustion</v>
      </c>
      <c r="B12" s="272" t="str">
        <f>IF(OR('Step2-Energy'!B12=yes,'Step2-Energy'!B12=no,'Step2-Energy'!B12=que),'Step2-Energy'!B12,pres)</f>
        <v>Present?</v>
      </c>
    </row>
    <row r="13" spans="1:2" ht="12.75">
      <c r="A13" s="408" t="str">
        <f>'Step2-Energy'!A14</f>
        <v>Fuel production</v>
      </c>
      <c r="B13" s="308"/>
    </row>
    <row r="14" spans="1:2" ht="12.75">
      <c r="A14" s="266" t="str">
        <f>'Step2-Energy'!A15</f>
        <v>Oil extraction</v>
      </c>
      <c r="B14" s="272" t="str">
        <f>IF(OR('Step2-Energy'!B15=yes,'Step2-Energy'!B15=no,'Step2-Energy'!B15=que),'Step2-Energy'!B15,pres)</f>
        <v>Present?</v>
      </c>
    </row>
    <row r="15" spans="1:2" ht="12.75">
      <c r="A15" s="266" t="str">
        <f>'Step2-Energy'!A16</f>
        <v>Oil refining</v>
      </c>
      <c r="B15" s="272" t="str">
        <f>IF(OR('Step2-Energy'!B16=yes,'Step2-Energy'!B16=no,'Step2-Energy'!B16=que),'Step2-Energy'!B16,pres)</f>
        <v>Present?</v>
      </c>
    </row>
    <row r="16" spans="1:2" ht="12.75">
      <c r="A16" s="266" t="str">
        <f>'Step2-Energy'!A17</f>
        <v>Extraction and processing of natural gas</v>
      </c>
      <c r="B16" s="272" t="str">
        <f>IF(OR('Step2-Energy'!B17=yes,'Step2-Energy'!B17=no,'Step2-Energy'!B17=que),'Step2-Energy'!B17,pres)</f>
        <v>Present?</v>
      </c>
    </row>
    <row r="17" spans="1:2" ht="12.75">
      <c r="A17" s="408" t="str">
        <f>'Step3-Metals-RawMat'!A5</f>
        <v>Primary metal production</v>
      </c>
      <c r="B17" s="308"/>
    </row>
    <row r="18" spans="1:2" ht="12.75">
      <c r="A18" s="266" t="str">
        <f>'Step3-Metals-RawMat'!A6</f>
        <v>Mercury (primary) extraction and initial processing</v>
      </c>
      <c r="B18" s="272" t="str">
        <f>IF(OR('Step3-Metals-RawMat'!B6=yes,'Step3-Metals-RawMat'!B6=no,'Step3-Metals-RawMat'!B6=que),'Step3-Metals-RawMat'!B6,pres)</f>
        <v>Present?</v>
      </c>
    </row>
    <row r="19" spans="1:2" ht="12.75">
      <c r="A19" s="266" t="str">
        <f>'Step3-Metals-RawMat'!A7</f>
        <v>Production of zinc from concentrates</v>
      </c>
      <c r="B19" s="272" t="str">
        <f>IF(OR('Step3-Metals-RawMat'!B7=yes,'Step3-Metals-RawMat'!B7=no,'Step3-Metals-RawMat'!B7=que),'Step3-Metals-RawMat'!B7,pres)</f>
        <v>Present?</v>
      </c>
    </row>
    <row r="20" spans="1:2" ht="12.75">
      <c r="A20" s="266" t="str">
        <f>'Step3-Metals-RawMat'!A8</f>
        <v>Production of copper from concentrates</v>
      </c>
      <c r="B20" s="272" t="str">
        <f>IF(OR('Step3-Metals-RawMat'!B8=yes,'Step3-Metals-RawMat'!B8=no,'Step3-Metals-RawMat'!B8=que),'Step3-Metals-RawMat'!B8,pres)</f>
        <v>Present?</v>
      </c>
    </row>
    <row r="21" spans="1:2" ht="12.75">
      <c r="A21" s="266" t="str">
        <f>'Step3-Metals-RawMat'!A9</f>
        <v>Production of lead from concentrates</v>
      </c>
      <c r="B21" s="272" t="str">
        <f>IF(OR('Step3-Metals-RawMat'!B9=yes,'Step3-Metals-RawMat'!B9=no,'Step3-Metals-RawMat'!B9=que),'Step3-Metals-RawMat'!B9,pres)</f>
        <v>Present?</v>
      </c>
    </row>
    <row r="22" spans="1:2" ht="25.5">
      <c r="A22" s="266" t="str">
        <f>'Step3-Metals-RawMat'!A10</f>
        <v>Gold extraction by methods other than mercury amalgamation</v>
      </c>
      <c r="B22" s="272" t="str">
        <f>IF(OR('Step3-Metals-RawMat'!B10=yes,'Step3-Metals-RawMat'!B10=no,'Step3-Metals-RawMat'!B10=que),'Step3-Metals-RawMat'!B10,pres)</f>
        <v>Present?</v>
      </c>
    </row>
    <row r="23" spans="1:2" ht="16.5" customHeight="1">
      <c r="A23" s="266" t="str">
        <f>'Step3-Metals-RawMat'!A11</f>
        <v>Alumina production from bauxite (aluminium production)</v>
      </c>
      <c r="B23" s="272" t="str">
        <f>IF(OR('Step3-Metals-RawMat'!B11=yes,'Step3-Metals-RawMat'!B11=no,'Step3-Metals-RawMat'!B11=que),'Step3-Metals-RawMat'!B11,pres)</f>
        <v>Present?</v>
      </c>
    </row>
    <row r="24" spans="1:2" ht="21" customHeight="1">
      <c r="A24" s="266" t="str">
        <f>'Step3-Metals-RawMat'!A12</f>
        <v>Primary ferrous metal production (pig iron production)</v>
      </c>
      <c r="B24" s="272" t="str">
        <f>IF(OR('Step3-Metals-RawMat'!B12=yes,'Step3-Metals-RawMat'!B12=no,'Step3-Metals-RawMat'!B12=que),'Step3-Metals-RawMat'!B12,pres)</f>
        <v>Present?</v>
      </c>
    </row>
    <row r="25" spans="1:2" ht="25.5">
      <c r="A25" s="266" t="str">
        <f>'Step3-Metals-RawMat'!A13</f>
        <v>Gold extraction with mercury amalgamation - without use of retort</v>
      </c>
      <c r="B25" s="272" t="str">
        <f>IF(OR('Step3-Metals-RawMat'!B13=yes,'Step3-Metals-RawMat'!B13=no,'Step3-Metals-RawMat'!B13=que),'Step3-Metals-RawMat'!B13,pres)</f>
        <v>Present?</v>
      </c>
    </row>
    <row r="26" spans="1:2" ht="25.5">
      <c r="A26" s="266" t="str">
        <f>'Step3-Metals-RawMat'!A14</f>
        <v>Gold extraction with mercury amalgamation - with use of retorts</v>
      </c>
      <c r="B26" s="272" t="str">
        <f>IF(OR('Step3-Metals-RawMat'!B14=yes,'Step3-Metals-RawMat'!B14=no,'Step3-Metals-RawMat'!B14=que),'Step3-Metals-RawMat'!B14,pres)</f>
        <v>Present?</v>
      </c>
    </row>
    <row r="27" spans="1:2" ht="17.25" customHeight="1">
      <c r="A27" s="408" t="str">
        <f>'Step3-Metals-RawMat'!A15</f>
        <v>Other materials production</v>
      </c>
      <c r="B27" s="308"/>
    </row>
    <row r="28" spans="1:2" ht="12.75">
      <c r="A28" s="266" t="str">
        <f>'Step3-Metals-RawMat'!A16</f>
        <v>Cement production</v>
      </c>
      <c r="B28" s="272" t="str">
        <f>IF(OR('Step3-Metals-RawMat'!B16=yes,'Step3-Metals-RawMat'!B16=no,'Step3-Metals-RawMat'!B16=que),'Step3-Metals-RawMat'!B16,pres)</f>
        <v>Present?</v>
      </c>
    </row>
    <row r="29" spans="1:2" ht="12.75">
      <c r="A29" s="266" t="str">
        <f>'Step3-Metals-RawMat'!A17</f>
        <v>Pulp and paper production</v>
      </c>
      <c r="B29" s="272" t="str">
        <f>IF(OR('Step3-Metals-RawMat'!B17=yes,'Step3-Metals-RawMat'!B17=no,'Step3-Metals-RawMat'!B17=que),'Step3-Metals-RawMat'!B17,pres)</f>
        <v>Present?</v>
      </c>
    </row>
    <row r="30" spans="1:2" ht="12.75">
      <c r="A30" s="408" t="str">
        <f>'Step4-Industrial Hg use'!A4</f>
        <v>Production of chemicals</v>
      </c>
      <c r="B30" s="308"/>
    </row>
    <row r="31" spans="1:2" ht="12.75">
      <c r="A31" s="266" t="str">
        <f>'Step4-Industrial Hg use'!A5</f>
        <v>Chlor-alkali production with mercury-cells</v>
      </c>
      <c r="B31" s="272" t="str">
        <f>IF(OR('Step4-Industrial Hg use'!B5=yes,'Step4-Industrial Hg use'!B5=no,'Step4-Industrial Hg use'!B5=que),'Step4-Industrial Hg use'!B5,pres)</f>
        <v>Present?</v>
      </c>
    </row>
    <row r="32" spans="1:2" ht="12.75">
      <c r="A32" s="266" t="str">
        <f>'Step4-Industrial Hg use'!A6</f>
        <v>VCM production with mercury catalyst</v>
      </c>
      <c r="B32" s="272" t="str">
        <f>IF(OR('Step4-Industrial Hg use'!B6=yes,'Step4-Industrial Hg use'!B6=no,'Step4-Industrial Hg use'!B6=que),'Step4-Industrial Hg use'!B6,pres)</f>
        <v>Present?</v>
      </c>
    </row>
    <row r="33" spans="1:2" ht="12.75">
      <c r="A33" s="266" t="str">
        <f>'Step4-Industrial Hg use'!A7</f>
        <v>Acetaldehyde production with mercury catalyst</v>
      </c>
      <c r="B33" s="272" t="str">
        <f>IF(OR('Step4-Industrial Hg use'!B7=yes,'Step4-Industrial Hg use'!B7=no,'Step4-Industrial Hg use'!B7=que),'Step4-Industrial Hg use'!B7,pres)</f>
        <v>Present?</v>
      </c>
    </row>
    <row r="34" spans="1:2" ht="12.75">
      <c r="A34" s="408" t="str">
        <f>'Step4-Industrial Hg use'!A9</f>
        <v>Production of products with mercury content</v>
      </c>
      <c r="B34" s="308"/>
    </row>
    <row r="35" spans="1:2" ht="12.75">
      <c r="A35" s="266" t="str">
        <f>'Step4-Industrial Hg use'!A10</f>
        <v>Hg thermometers (medical, air, lab, industrial etc.) </v>
      </c>
      <c r="B35" s="272" t="str">
        <f>IF(OR('Step4-Industrial Hg use'!B10=yes,'Step4-Industrial Hg use'!B10=no,'Step4-Industrial Hg use'!B10=que),'Step4-Industrial Hg use'!B10,pres)</f>
        <v>Present?</v>
      </c>
    </row>
    <row r="36" spans="1:2" ht="12.75">
      <c r="A36" s="266" t="str">
        <f>'Step4-Industrial Hg use'!A11</f>
        <v>Electrical switches and relays with mercury </v>
      </c>
      <c r="B36" s="272" t="str">
        <f>IF(OR('Step4-Industrial Hg use'!B11=yes,'Step4-Industrial Hg use'!B11=no,'Step4-Industrial Hg use'!B11=que),'Step4-Industrial Hg use'!B11,pres)</f>
        <v>Present?</v>
      </c>
    </row>
    <row r="37" spans="1:2" ht="25.5">
      <c r="A37" s="266" t="str">
        <f>'Step4-Industrial Hg use'!A12</f>
        <v>Light sources with mercury (fluorescent, compact, others: see guideline) </v>
      </c>
      <c r="B37" s="272" t="str">
        <f>IF(OR('Step4-Industrial Hg use'!B12=yes,'Step4-Industrial Hg use'!B12=no,'Step4-Industrial Hg use'!B12=que),'Step4-Industrial Hg use'!B12,pres)</f>
        <v>Present?</v>
      </c>
    </row>
    <row r="38" spans="1:2" ht="12.75">
      <c r="A38" s="266" t="str">
        <f>'Step4-Industrial Hg use'!A13</f>
        <v>Batteries with mercury </v>
      </c>
      <c r="B38" s="272" t="str">
        <f>IF(OR('Step4-Industrial Hg use'!B13=yes,'Step4-Industrial Hg use'!B13=no,'Step4-Industrial Hg use'!B13=que),'Step4-Industrial Hg use'!B13,pres)</f>
        <v>Present?</v>
      </c>
    </row>
    <row r="39" spans="1:2" ht="12.75">
      <c r="A39" s="266" t="str">
        <f>'Step4-Industrial Hg use'!A14</f>
        <v>Manometers and gauges with mercury </v>
      </c>
      <c r="B39" s="272" t="str">
        <f>IF(OR('Step4-Industrial Hg use'!B14=yes,'Step4-Industrial Hg use'!B14=no,'Step4-Industrial Hg use'!B14=que),'Step4-Industrial Hg use'!B14,pres)</f>
        <v>Present?</v>
      </c>
    </row>
    <row r="40" spans="1:2" ht="12.75">
      <c r="A40" s="266" t="str">
        <f>'Step4-Industrial Hg use'!A15</f>
        <v>Biocides and pesticides with mercury </v>
      </c>
      <c r="B40" s="272" t="str">
        <f>IF(OR('Step4-Industrial Hg use'!B15=yes,'Step4-Industrial Hg use'!B15=no,'Step4-Industrial Hg use'!B15=que),'Step4-Industrial Hg use'!B15,pres)</f>
        <v>Present?</v>
      </c>
    </row>
    <row r="41" spans="1:2" ht="12.75">
      <c r="A41" s="266" t="str">
        <f>'Step4-Industrial Hg use'!A16</f>
        <v>Paints with mercury </v>
      </c>
      <c r="B41" s="272" t="str">
        <f>IF(OR('Step4-Industrial Hg use'!B16=yes,'Step4-Industrial Hg use'!B16=no,'Step4-Industrial Hg use'!B16=que),'Step4-Industrial Hg use'!B16,pres)</f>
        <v>Present?</v>
      </c>
    </row>
    <row r="42" spans="1:2" ht="25.5">
      <c r="A42" s="266" t="str">
        <f>'Step4-Industrial Hg use'!A17</f>
        <v>Skin lightening creams and soaps with mercury chemicals </v>
      </c>
      <c r="B42" s="272" t="str">
        <f>IF(OR('Step4-Industrial Hg use'!B17=yes,'Step4-Industrial Hg use'!B17=no,'Step4-Industrial Hg use'!B17=que),'Step4-Industrial Hg use'!B17,pres)</f>
        <v>Present?</v>
      </c>
    </row>
    <row r="43" spans="1:2" ht="16.5" customHeight="1">
      <c r="A43" s="408" t="str">
        <f>'Step6-Hg products-substances'!A6</f>
        <v>Use and disposal of products with mercury content</v>
      </c>
      <c r="B43" s="308"/>
    </row>
    <row r="44" spans="1:2" ht="12.75">
      <c r="A44" s="266" t="str">
        <f>'Step6-Hg products-substances'!A7</f>
        <v>Dental amalgam fillings ("silver" fillings)</v>
      </c>
      <c r="B44" s="272" t="str">
        <f>IF(OR('Step6-Hg products-substances'!B7=yes,'Step6-Hg products-substances'!B7=no,'Step6-Hg products-substances'!B7=que),'Step6-Hg products-substances'!B7,pres)</f>
        <v>Present?</v>
      </c>
    </row>
    <row r="45" spans="1:2" ht="12.75">
      <c r="A45" s="266" t="str">
        <f>'Step6-Hg products-substances'!A13</f>
        <v>Thermometers</v>
      </c>
      <c r="B45" s="272" t="str">
        <f>IF(OR('Step6-Hg products-substances'!B13=yes,'Step6-Hg products-substances'!B13=no,'Step6-Hg products-substances'!B13=que),'Step6-Hg products-substances'!B13,pres)</f>
        <v>Present?</v>
      </c>
    </row>
    <row r="46" spans="1:2" ht="12.75">
      <c r="A46" s="266" t="str">
        <f>'Step6-Hg products-substances'!A18</f>
        <v>Electrical switches and relays with mercury</v>
      </c>
      <c r="B46" s="272" t="str">
        <f>IF(OR('Step6-Hg products-substances'!B18=yes,'Step6-Hg products-substances'!B18=no,'Step6-Hg products-substances'!B18=que),'Step6-Hg products-substances'!B18,pres)</f>
        <v>Present?</v>
      </c>
    </row>
    <row r="47" spans="1:2" ht="12.75">
      <c r="A47" s="266" t="str">
        <f>'Step6-Hg products-substances'!A21</f>
        <v>Light sources with mercury</v>
      </c>
      <c r="B47" s="272" t="str">
        <f>IF(OR('Step6-Hg products-substances'!B21=yes,'Step6-Hg products-substances'!B21=no,'Step6-Hg products-substances'!B21=que),'Step6-Hg products-substances'!B21,pres)</f>
        <v>Present?</v>
      </c>
    </row>
    <row r="48" spans="1:2" ht="12.75">
      <c r="A48" s="376" t="str">
        <f>'Step6-Hg products-substances'!A26</f>
        <v>Batteries with mercury</v>
      </c>
      <c r="B48" s="272" t="str">
        <f>IF(OR('Step6-Hg products-substances'!B26=yes,'Step6-Hg products-substances'!B26=no,'Step6-Hg products-substances'!B26=que),'Step6-Hg products-substances'!B26,pres)</f>
        <v>Present?</v>
      </c>
    </row>
    <row r="49" spans="1:2" ht="25.5">
      <c r="A49" s="266" t="str">
        <f>'Step6-Hg products-substances'!A31</f>
        <v>Polyurethane (PU, PUR) produced with mercury catalyst</v>
      </c>
      <c r="B49" s="272" t="str">
        <f>IF(OR('Step6-Hg products-substances'!B31=yes,'Step6-Hg products-substances'!B31=no,'Step6-Hg products-substances'!B31=que),'Step6-Hg products-substances'!B31,pres)</f>
        <v>Present?</v>
      </c>
    </row>
    <row r="50" spans="1:2" ht="12.75">
      <c r="A50" s="266" t="str">
        <f>'Step6-Hg products-substances'!A34</f>
        <v>Paints with mercury preservatives</v>
      </c>
      <c r="B50" s="272" t="str">
        <f>IF(OR('Step6-Hg products-substances'!B34=yes,'Step6-Hg products-substances'!B34=no,'Step6-Hg products-substances'!B34=que),'Step6-Hg products-substances'!B34,pres)</f>
        <v>Present?</v>
      </c>
    </row>
    <row r="51" spans="1:2" ht="25.5">
      <c r="A51" s="266" t="str">
        <f>'Step6-Hg products-substances'!A36</f>
        <v>Skin lightening creams and soaps with mercury chemicals</v>
      </c>
      <c r="B51" s="272" t="str">
        <f>IF(OR('Step6-Hg products-substances'!B36=yes,'Step6-Hg products-substances'!B36=no,'Step6-Hg products-substances'!B36=que),'Step6-Hg products-substances'!B36,pres)</f>
        <v>Present?</v>
      </c>
    </row>
    <row r="52" spans="1:2" ht="29.25" customHeight="1">
      <c r="A52" s="266" t="str">
        <f>'Step6-Hg products-substances'!A38</f>
        <v>Medical blood pressure gauges (mercury sphygmomanometers)</v>
      </c>
      <c r="B52" s="272" t="str">
        <f>IF(OR('Step6-Hg products-substances'!B38=yes,'Step6-Hg products-substances'!B38=no,'Step6-Hg products-substances'!B38=que),'Step6-Hg products-substances'!B38,pres)</f>
        <v>Present?</v>
      </c>
    </row>
    <row r="53" spans="1:2" ht="12.75">
      <c r="A53" s="266" t="str">
        <f>'Step6-Hg products-substances'!A40</f>
        <v>Other manometers and gauges with mercury</v>
      </c>
      <c r="B53" s="272" t="str">
        <f>IF(OR('Step6-Hg products-substances'!B40=yes,'Step6-Hg products-substances'!B40=no,'Step6-Hg products-substances'!B40=que),'Step6-Hg products-substances'!B40,pres)</f>
        <v>Present?</v>
      </c>
    </row>
    <row r="54" spans="1:2" ht="12.75">
      <c r="A54" s="266" t="str">
        <f>'Step6-Hg products-substances'!A43</f>
        <v>Laboratory chemicals</v>
      </c>
      <c r="B54" s="272" t="str">
        <f>IF(OR('Step6-Hg products-substances'!B43=yes,'Step6-Hg products-substances'!B43=no,'Step6-Hg products-substances'!B43=que),'Step6-Hg products-substances'!B43,pres)</f>
        <v>Present?</v>
      </c>
    </row>
    <row r="55" spans="1:2" ht="12.75">
      <c r="A55" s="266" t="str">
        <f>'Step6-Hg products-substances'!A46</f>
        <v>Other laboratory and medical equipment with mercury </v>
      </c>
      <c r="B55" s="272" t="str">
        <f>IF(OR('Step6-Hg products-substances'!B46=yes,'Step6-Hg products-substances'!B46=no,'Step6-Hg products-substances'!B46=que),'Step6-Hg products-substances'!B46,pres)</f>
        <v>Present?</v>
      </c>
    </row>
    <row r="56" spans="1:2" ht="12.75">
      <c r="A56" s="408" t="str">
        <f>'Step5-Waste treatment+recycling'!A8</f>
        <v>Production of recycled of metals</v>
      </c>
      <c r="B56" s="308"/>
    </row>
    <row r="57" spans="1:2" ht="25.5">
      <c r="A57" s="266" t="str">
        <f>'Step5-Waste treatment+recycling'!A9</f>
        <v>Production of recycled mercury ("secondary production”)</v>
      </c>
      <c r="B57" s="272" t="str">
        <f>IF(OR('Step5-Waste treatment+recycling'!B9=yes,'Step5-Waste treatment+recycling'!B9=no,'Step5-Waste treatment+recycling'!B9=que),'Step5-Waste treatment+recycling'!B9,pres)</f>
        <v>Present?</v>
      </c>
    </row>
    <row r="58" spans="1:2" ht="12.75">
      <c r="A58" s="266" t="str">
        <f>'Step5-Waste treatment+recycling'!A10</f>
        <v>Production of recycled ferrous metals (iron and steel)</v>
      </c>
      <c r="B58" s="272" t="str">
        <f>IF(OR('Step5-Waste treatment+recycling'!B10=yes,'Step5-Waste treatment+recycling'!B10=no,'Step5-Waste treatment+recycling'!B10=que),'Step5-Waste treatment+recycling'!B10,pres)</f>
        <v>Present?</v>
      </c>
    </row>
    <row r="59" spans="1:2" ht="12.75">
      <c r="A59" s="408" t="str">
        <f>'Step5-Waste treatment+recycling'!A12</f>
        <v>Waste incineration</v>
      </c>
      <c r="B59" s="308"/>
    </row>
    <row r="60" spans="1:2" ht="12.75">
      <c r="A60" s="266" t="str">
        <f>'Step5-Waste treatment+recycling'!A13</f>
        <v>Incineration of municipal/general waste</v>
      </c>
      <c r="B60" s="272" t="str">
        <f>IF(OR('Step5-Waste treatment+recycling'!B13=yes,'Step5-Waste treatment+recycling'!B13=no,'Step5-Waste treatment+recycling'!B13=que),'Step5-Waste treatment+recycling'!B13,pres)</f>
        <v>Present?</v>
      </c>
    </row>
    <row r="61" spans="1:2" ht="12.75">
      <c r="A61" s="266" t="str">
        <f>'Step5-Waste treatment+recycling'!A14</f>
        <v>Incineration of hazardous waste</v>
      </c>
      <c r="B61" s="272" t="str">
        <f>IF(OR('Step5-Waste treatment+recycling'!B14=yes,'Step5-Waste treatment+recycling'!B14=no,'Step5-Waste treatment+recycling'!B14=que),'Step5-Waste treatment+recycling'!B14,pres)</f>
        <v>Present?</v>
      </c>
    </row>
    <row r="62" spans="1:2" ht="12.75">
      <c r="A62" s="266" t="str">
        <f>'Step5-Waste treatment+recycling'!A15</f>
        <v>Incineration and open burning of medical waste</v>
      </c>
      <c r="B62" s="272" t="str">
        <f>IF(OR('Step5-Waste treatment+recycling'!B15=yes,'Step5-Waste treatment+recycling'!B15=no,'Step5-Waste treatment+recycling'!B15=que),'Step5-Waste treatment+recycling'!B15,pres)</f>
        <v>Present?</v>
      </c>
    </row>
    <row r="63" spans="1:2" ht="12.75">
      <c r="A63" s="266" t="str">
        <f>'Step5-Waste treatment+recycling'!A16</f>
        <v>Sewage sludge incineration</v>
      </c>
      <c r="B63" s="272" t="str">
        <f>IF(OR('Step5-Waste treatment+recycling'!B16=yes,'Step5-Waste treatment+recycling'!B16=no,'Step5-Waste treatment+recycling'!B16=que),'Step5-Waste treatment+recycling'!B16,pres)</f>
        <v>Present?</v>
      </c>
    </row>
    <row r="64" spans="1:2" ht="12.75">
      <c r="A64" s="266" t="str">
        <f>'Step5-Waste treatment+recycling'!A17</f>
        <v>Open fire waste burning (on landfills and informally)</v>
      </c>
      <c r="B64" s="272" t="str">
        <f>IF(OR('Step5-Waste treatment+recycling'!B17=yes,'Step5-Waste treatment+recycling'!B17=no,'Step5-Waste treatment+recycling'!B17=que),'Step5-Waste treatment+recycling'!B17,pres)</f>
        <v>Present?</v>
      </c>
    </row>
    <row r="65" spans="1:2" ht="25.5">
      <c r="A65" s="408" t="str">
        <f>'Step5-Waste treatment+recycling'!A19</f>
        <v>Waste deposition/landfilling and waste water treatment</v>
      </c>
      <c r="B65" s="308"/>
    </row>
    <row r="66" spans="1:2" ht="12.75">
      <c r="A66" s="266" t="str">
        <f>'Step5-Waste treatment+recycling'!A20</f>
        <v>Controlled landfills/deposits</v>
      </c>
      <c r="B66" s="272" t="str">
        <f>IF(OR('Step5-Waste treatment+recycling'!B20=yes,'Step5-Waste treatment+recycling'!B20=no,'Step5-Waste treatment+recycling'!B20=que),'Step5-Waste treatment+recycling'!B20,pres)</f>
        <v>Present?</v>
      </c>
    </row>
    <row r="67" spans="1:2" ht="12.75">
      <c r="A67" s="266" t="str">
        <f>'Step5-Waste treatment+recycling'!A21</f>
        <v>Informal dumping of general waste *1</v>
      </c>
      <c r="B67" s="272" t="str">
        <f>IF(OR('Step5-Waste treatment+recycling'!B21=yes,'Step5-Waste treatment+recycling'!B21=no,'Step5-Waste treatment+recycling'!B21=que),'Step5-Waste treatment+recycling'!B21,pres)</f>
        <v>Present?</v>
      </c>
    </row>
    <row r="68" spans="1:2" ht="12.75">
      <c r="A68" s="266" t="str">
        <f>'Step5-Waste treatment+recycling'!A23</f>
        <v>Waste water system/treatment</v>
      </c>
      <c r="B68" s="272" t="str">
        <f>IF(OR('Step5-Waste treatment+recycling'!B23=yes,'Step5-Waste treatment+recycling'!B23=no,'Step5-Waste treatment+recycling'!B23=que),'Step5-Waste treatment+recycling'!B23,pres)</f>
        <v>Present?</v>
      </c>
    </row>
    <row r="69" spans="1:2" ht="12.75">
      <c r="A69" s="408" t="str">
        <f>'Step7-Crematoria-cemetaries'!A4</f>
        <v>Crematoria and cemeteries</v>
      </c>
      <c r="B69" s="308"/>
    </row>
    <row r="70" spans="1:2" ht="12.75">
      <c r="A70" s="266" t="str">
        <f>'Step7-Crematoria-cemetaries'!A5</f>
        <v>Crematoria</v>
      </c>
      <c r="B70" s="272" t="str">
        <f>IF(OR('Step7-Crematoria-cemetaries'!B5=yes,'Step7-Crematoria-cemetaries'!B5=no,'Step7-Crematoria-cemetaries'!B5=que),'Step7-Crematoria-cemetaries'!B5,pres)</f>
        <v>Present?</v>
      </c>
    </row>
    <row r="71" spans="1:2" ht="12.75">
      <c r="A71" s="266" t="str">
        <f>'Step7-Crematoria-cemetaries'!A6</f>
        <v>Cemeteries</v>
      </c>
      <c r="B71" s="272" t="str">
        <f>IF(OR('Step7-Crematoria-cemetaries'!B6=yes,'Step7-Crematoria-cemetaries'!B6=no,'Step7-Crematoria-cemetaries'!B6=que),'Step7-Crematoria-cemetaries'!B6,pres)</f>
        <v>Present?</v>
      </c>
    </row>
    <row r="72" spans="1:2" ht="12.75">
      <c r="A72" s="365"/>
      <c r="B72" s="366"/>
    </row>
    <row r="76" ht="12.75">
      <c r="A76" s="382"/>
    </row>
  </sheetData>
  <sheetProtection password="83AF" sheet="1"/>
  <printOptions/>
  <pageMargins left="0.3937007874015748" right="0.3937007874015748" top="0.7480314960629921" bottom="0.7480314960629921" header="0.31496062992125984" footer="0.31496062992125984"/>
  <pageSetup fitToHeight="2" fitToWidth="1" horizontalDpi="600" verticalDpi="600" orientation="landscape" paperSize="9" scale="90" r:id="rId1"/>
  <headerFooter>
    <oddFooter>&amp;L&amp;A
Printed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E18" sqref="E18"/>
    </sheetView>
  </sheetViews>
  <sheetFormatPr defaultColWidth="9.140625" defaultRowHeight="12.75"/>
  <cols>
    <col min="1" max="1" width="36.8515625" style="346" customWidth="1"/>
    <col min="2" max="2" width="8.8515625" style="367" customWidth="1"/>
    <col min="3" max="3" width="20.28125" style="346" customWidth="1"/>
    <col min="4" max="4" width="30.140625" style="346" customWidth="1"/>
    <col min="5" max="5" width="12.57421875" style="346" customWidth="1"/>
    <col min="6" max="6" width="13.7109375" style="346" customWidth="1"/>
    <col min="7" max="7" width="10.421875" style="346" customWidth="1"/>
    <col min="8" max="8" width="11.421875" style="346" customWidth="1"/>
    <col min="9" max="9" width="12.28125" style="346" customWidth="1"/>
    <col min="10" max="10" width="10.28125" style="346" customWidth="1"/>
    <col min="11" max="11" width="14.421875" style="346" customWidth="1"/>
    <col min="12" max="12" width="5.8515625" style="346" customWidth="1"/>
    <col min="13" max="13" width="9.140625" style="346" customWidth="1"/>
    <col min="14" max="14" width="0" style="346" hidden="1" customWidth="1"/>
    <col min="15" max="16384" width="9.140625" style="346" customWidth="1"/>
  </cols>
  <sheetData>
    <row r="1" spans="1:2" ht="12.75">
      <c r="A1" s="363" t="s">
        <v>384</v>
      </c>
      <c r="B1" s="364"/>
    </row>
    <row r="2" spans="1:12" ht="30" customHeight="1">
      <c r="A2" s="690">
        <f>IF(ISNA(MATCH("n",N5:N17,0)),"","
The Estimated Hg input (or equivalent inserted IL2 results) marked in red colour is very high compared to previous observations. Data may be correct, but please confirm your activity rate data (or inserted IL2 data).")</f>
      </c>
      <c r="B2" s="691"/>
      <c r="C2" s="691"/>
      <c r="D2" s="691"/>
      <c r="E2" s="691"/>
      <c r="F2" s="691"/>
      <c r="G2" s="691"/>
      <c r="H2" s="691"/>
      <c r="I2" s="691"/>
      <c r="J2" s="691"/>
      <c r="K2" s="691"/>
      <c r="L2" s="692"/>
    </row>
    <row r="3" spans="1:12" s="368" customFormat="1" ht="38.25">
      <c r="A3" s="266" t="s">
        <v>323</v>
      </c>
      <c r="B3" s="505" t="s">
        <v>381</v>
      </c>
      <c r="C3" s="272" t="s">
        <v>518</v>
      </c>
      <c r="D3" s="266"/>
      <c r="E3" s="372" t="s">
        <v>373</v>
      </c>
      <c r="F3" s="687" t="s">
        <v>379</v>
      </c>
      <c r="G3" s="688"/>
      <c r="H3" s="688"/>
      <c r="I3" s="688"/>
      <c r="J3" s="688"/>
      <c r="K3" s="689"/>
      <c r="L3" s="266"/>
    </row>
    <row r="4" spans="1:13" ht="39" thickBot="1">
      <c r="A4" s="383" t="s">
        <v>434</v>
      </c>
      <c r="B4" s="519" t="str">
        <f>quest</f>
        <v>Y/N/?</v>
      </c>
      <c r="C4" s="271" t="s">
        <v>383</v>
      </c>
      <c r="D4" s="490" t="s">
        <v>35</v>
      </c>
      <c r="E4" s="267" t="s">
        <v>378</v>
      </c>
      <c r="F4" s="273" t="s">
        <v>38</v>
      </c>
      <c r="G4" s="273" t="s">
        <v>39</v>
      </c>
      <c r="H4" s="273" t="s">
        <v>40</v>
      </c>
      <c r="I4" s="460" t="s">
        <v>521</v>
      </c>
      <c r="J4" s="267" t="s">
        <v>42</v>
      </c>
      <c r="K4" s="267" t="s">
        <v>380</v>
      </c>
      <c r="L4" s="266" t="s">
        <v>372</v>
      </c>
      <c r="M4" s="329" t="s">
        <v>56</v>
      </c>
    </row>
    <row r="5" spans="1:15" ht="12.75">
      <c r="A5" s="274" t="str">
        <f>'5-1 Fuels'!C6</f>
        <v>Coal combustion in large power plants</v>
      </c>
      <c r="B5" s="386"/>
      <c r="C5" s="387"/>
      <c r="D5" s="352" t="s">
        <v>992</v>
      </c>
      <c r="E5" s="488" t="str">
        <f>IF(OR($B5=yes,$B5=yes),'5-1 Fuels'!$K$8,IF(OR($B5=no,$B5=no),"-",IF($B5=que,que,pres)))</f>
        <v>Present?</v>
      </c>
      <c r="F5" s="489" t="str">
        <f>IF(OR($B5=yes,$B5=yes),'5-1 Fuels'!V9,IF(OR($B5=no,$B5=no),"-",IF($B5=que,que,pres)))</f>
        <v>Present?</v>
      </c>
      <c r="G5" s="489" t="str">
        <f>IF(OR($B5=yes,$B5=yes),'5-1 Fuels'!W9,IF(OR($B5=no,$B5=no),"-",IF($B5=que,que,pres)))</f>
        <v>Present?</v>
      </c>
      <c r="H5" s="489" t="str">
        <f>IF(OR($B5=yes,$B5=yes),'5-1 Fuels'!X9,IF(OR($B5=no,$B5=no),"-",IF($B5=que,que,pres)))</f>
        <v>Present?</v>
      </c>
      <c r="I5" s="489" t="str">
        <f>IF(OR($B5=yes,$B5=yes),'5-1 Fuels'!Y9,IF(OR($B5=no,$B5=no),"-",IF($B5=que,que,pres)))</f>
        <v>Present?</v>
      </c>
      <c r="J5" s="489" t="str">
        <f>IF(OR($B5=yes,$B5=yes),'5-1 Fuels'!Z9,IF(OR($B5=no,$B5=no),"-",IF($B5=que,que,pres)))</f>
        <v>Present?</v>
      </c>
      <c r="K5" s="489" t="str">
        <f>IF(OR($B5=yes,$B5=yes),'5-1 Fuels'!AA9,IF(OR($B5=no,$B5=no),"-",IF($B5=que,que,pres)))</f>
        <v>Present?</v>
      </c>
      <c r="L5" s="276" t="str">
        <f>'5-1 Fuels'!B6</f>
        <v>5.1.1</v>
      </c>
      <c r="M5" s="493"/>
      <c r="N5" s="346">
        <f>INDEX('Range-thresholds'!$G$6:$G$72,MATCH(A5,'Range-thresholds'!$A$6:$A$72,0))</f>
      </c>
      <c r="O5" s="329"/>
    </row>
    <row r="6" spans="1:14" ht="12.75">
      <c r="A6" s="274" t="s">
        <v>445</v>
      </c>
      <c r="B6" s="388"/>
      <c r="C6" s="389"/>
      <c r="D6" s="352" t="s">
        <v>993</v>
      </c>
      <c r="E6" s="488" t="str">
        <f>IF(OR($B6=yes,$B6=yes),'5-1 Fuels'!K18,IF(OR($B6=no,$B6=no),"-",IF($B6=que,que,pres)))</f>
        <v>Present?</v>
      </c>
      <c r="F6" s="489" t="str">
        <f>IF(OR($B6=yes,$B6=yes),'5-1 Fuels'!V14,IF(OR($B6=no,$B6=no),"-",IF($B6=que,que,pres)))</f>
        <v>Present?</v>
      </c>
      <c r="G6" s="489" t="str">
        <f>IF(OR($B6=yes,$B6=yes),'5-1 Fuels'!W14,IF(OR($B6=no,$B6=no),"-",IF($B6=que,que,pres)))</f>
        <v>Present?</v>
      </c>
      <c r="H6" s="489" t="str">
        <f>IF(OR($B6=yes,$B6=yes),'5-1 Fuels'!X14,IF(OR($B6=no,$B6=no),"-",IF($B6=que,que,pres)))</f>
        <v>Present?</v>
      </c>
      <c r="I6" s="489" t="str">
        <f>IF(OR($B6=yes,$B6=yes),'5-1 Fuels'!Y14,IF(OR($B6=no,$B6=no),"-",IF($B6=que,que,pres)))</f>
        <v>Present?</v>
      </c>
      <c r="J6" s="489" t="str">
        <f>IF(OR($B6=yes,$B6=yes),'5-1 Fuels'!Z14,IF(OR($B6=no,$B6=no),"-",IF($B6=que,que,pres)))</f>
        <v>Present?</v>
      </c>
      <c r="K6" s="489" t="str">
        <f>IF(OR($B6=yes,$B6=yes),'5-1 Fuels'!AA14,IF(OR($B6=no,$B6=no),"-",IF($B6=que,que,pres)))</f>
        <v>Present?</v>
      </c>
      <c r="L6" s="276" t="str">
        <f>'5-1 Fuels'!B14</f>
        <v>5.1.2</v>
      </c>
      <c r="M6" s="492"/>
      <c r="N6" s="346">
        <f>INDEX('Range-thresholds'!$G$6:$G$72,MATCH(A6,'Range-thresholds'!$A$6:$A$72,0))</f>
      </c>
    </row>
    <row r="7" spans="1:14" ht="25.5">
      <c r="A7" s="279" t="s">
        <v>497</v>
      </c>
      <c r="B7" s="388"/>
      <c r="C7" s="389"/>
      <c r="D7" s="352" t="s">
        <v>986</v>
      </c>
      <c r="E7" s="488" t="str">
        <f>IF(OR($B7=yes,$B7=yes),'5-1 Fuels'!K28,IF(OR($B7=no,$B7=no),"-",IF($B7=que,que,pres)))</f>
        <v>Present?</v>
      </c>
      <c r="F7" s="489" t="str">
        <f>IF(OR($B7=yes,$B7=yes),SUM('5-1 Fuels'!V28:V30),IF(OR($B7=no,$B7=no),"-",IF($B7=que,que,pres)))</f>
        <v>Present?</v>
      </c>
      <c r="G7" s="489" t="str">
        <f>IF(OR($B7=yes,$B7=yes),SUM('5-1 Fuels'!W28:W30),IF(OR($B7=no,$B7=no),"-",IF($B7=que,que,pres)))</f>
        <v>Present?</v>
      </c>
      <c r="H7" s="489" t="str">
        <f>IF(OR($B7=yes,$B7=yes),SUM('5-1 Fuels'!X28:X30),IF(OR($B7=no,$B7=no),"-",IF($B7=que,que,pres)))</f>
        <v>Present?</v>
      </c>
      <c r="I7" s="489" t="str">
        <f>IF(OR($B7=yes,$B7=yes),SUM('5-1 Fuels'!Y28:Y30),IF(OR($B7=no,$B7=no),"-",IF($B7=que,que,pres)))</f>
        <v>Present?</v>
      </c>
      <c r="J7" s="489" t="str">
        <f>IF(OR($B7=yes,$B7=yes),SUM('5-1 Fuels'!Z28:Z30),IF(OR($B7=no,$B7=no),"-",IF($B7=que,que,pres)))</f>
        <v>Present?</v>
      </c>
      <c r="K7" s="489" t="str">
        <f>IF(OR($B7=yes,$B7=yes),SUM('5-1 Fuels'!AA28:AA30),IF(OR($B7=no,$B7=no),"-",IF($B7=que,que,pres)))</f>
        <v>Present?</v>
      </c>
      <c r="L7" s="276" t="str">
        <f>'5-1 Fuels'!B24</f>
        <v>5.1.3</v>
      </c>
      <c r="M7" s="492"/>
      <c r="N7" s="346">
        <f>INDEX('Range-thresholds'!$G$6:$G$72,MATCH(A7,'Range-thresholds'!$A$6:$A$72,0))</f>
      </c>
    </row>
    <row r="8" spans="1:14" ht="25.5">
      <c r="A8" s="279" t="s">
        <v>374</v>
      </c>
      <c r="B8" s="388"/>
      <c r="C8" s="389"/>
      <c r="D8" s="352" t="s">
        <v>986</v>
      </c>
      <c r="E8" s="488" t="str">
        <f>IF(OR($B8=yes,$B8=yes),'5-1 Fuels'!K32,IF(OR($B8=no,$B8=no),"-",IF($B8=que,que,pres)))</f>
        <v>Present?</v>
      </c>
      <c r="F8" s="489" t="str">
        <f>IF(OR($B8=yes,$B8=yes),SUM('5-1 Fuels'!V32:V35),IF(OR($B8=no,$B8=no),"-",IF($B8=que,que,pres)))</f>
        <v>Present?</v>
      </c>
      <c r="G8" s="489" t="str">
        <f>IF(OR($B8=yes,$B8=yes),SUM('5-1 Fuels'!W32:W35),IF(OR($B8=no,$B8=no),"-",IF($B8=que,que,pres)))</f>
        <v>Present?</v>
      </c>
      <c r="H8" s="489" t="str">
        <f>IF(OR($B8=yes,$B8=yes),SUM('5-1 Fuels'!X32:X35),IF(OR($B8=no,$B8=no),"-",IF($B8=que,que,pres)))</f>
        <v>Present?</v>
      </c>
      <c r="I8" s="489" t="str">
        <f>IF(OR($B8=yes,$B8=yes),SUM('5-1 Fuels'!Y32:Y35),IF(OR($B8=no,$B8=no),"-",IF($B8=que,que,pres)))</f>
        <v>Present?</v>
      </c>
      <c r="J8" s="489" t="str">
        <f>IF(OR($B8=yes,$B8=yes),SUM('5-1 Fuels'!Z32:Z35),IF(OR($B8=no,$B8=no),"-",IF($B8=que,que,pres)))</f>
        <v>Present?</v>
      </c>
      <c r="K8" s="489" t="str">
        <f>IF(OR($B8=yes,$B8=yes),SUM('5-1 Fuels'!AA32:AA35),IF(OR($B8=no,$B8=no),"-",IF($B8=que,que,pres)))</f>
        <v>Present?</v>
      </c>
      <c r="L8" s="276" t="str">
        <f>L15</f>
        <v>5.1.3</v>
      </c>
      <c r="M8" s="493"/>
      <c r="N8" s="346">
        <f>INDEX('Range-thresholds'!$G$6:$G$72,MATCH(A8,'Range-thresholds'!$A$6:$A$72,0))</f>
      </c>
    </row>
    <row r="9" spans="1:14" ht="12.75">
      <c r="A9" s="279" t="s">
        <v>555</v>
      </c>
      <c r="B9" s="388"/>
      <c r="C9" s="389"/>
      <c r="D9" s="352" t="s">
        <v>994</v>
      </c>
      <c r="E9" s="488" t="str">
        <f>IF(OR($B9=yes,$B9=yes),'5-1 Fuels'!K40,IF(OR($B9=no,$B9=no),"-",IF($B9=que,que,pres)))</f>
        <v>Present?</v>
      </c>
      <c r="F9" s="489" t="str">
        <f>IF(OR($B9=yes,$B9=yes),'5-1 Fuels'!V40,IF(OR($B9=no,$B9=no),"-",IF($B9=que,que,pres)))</f>
        <v>Present?</v>
      </c>
      <c r="G9" s="489" t="str">
        <f>IF(OR($B9=yes,$B9=yes),'5-1 Fuels'!W40,IF(OR($B9=no,$B9=no),"-",IF($B9=que,que,pres)))</f>
        <v>Present?</v>
      </c>
      <c r="H9" s="489" t="str">
        <f>IF(OR($B9=yes,$B9=yes),'5-1 Fuels'!X40,IF(OR($B9=no,$B9=no),"-",IF($B9=que,que,pres)))</f>
        <v>Present?</v>
      </c>
      <c r="I9" s="489" t="str">
        <f>IF(OR($B9=yes,$B9=yes),'5-1 Fuels'!Y40,IF(OR($B9=no,$B9=no),"-",IF($B9=que,que,pres)))</f>
        <v>Present?</v>
      </c>
      <c r="J9" s="489" t="str">
        <f>IF(OR($B9=yes,$B9=yes),'5-1 Fuels'!Z40,IF(OR($B9=no,$B9=no),"-",IF($B9=que,que,pres)))</f>
        <v>Present?</v>
      </c>
      <c r="K9" s="489" t="str">
        <f>IF(OR($B9=yes,$B9=yes),'5-1 Fuels'!AA40,IF(OR($B9=no,$B9=no),"-",IF($B9=que,que,pres)))</f>
        <v>Present?</v>
      </c>
      <c r="L9" s="276" t="str">
        <f>'5-1 Fuels'!B37</f>
        <v>5.1.4</v>
      </c>
      <c r="M9" s="493"/>
      <c r="N9" s="346">
        <f>INDEX('Range-thresholds'!$G$6:$G$72,MATCH(A9,'Range-thresholds'!$A$6:$A$72,0))</f>
      </c>
    </row>
    <row r="10" spans="1:14" ht="12.75">
      <c r="A10" s="279" t="s">
        <v>554</v>
      </c>
      <c r="B10" s="388"/>
      <c r="C10" s="389"/>
      <c r="D10" s="352" t="s">
        <v>994</v>
      </c>
      <c r="E10" s="488" t="str">
        <f>IF(OR($B10=yes,$B10=yes),'5-1 Fuels'!K41,IF(OR($B10=no,$B10=no),"-",IF($B10=que,que,pres)))</f>
        <v>Present?</v>
      </c>
      <c r="F10" s="489" t="str">
        <f>IF(OR($B10=yes,$B10=yes),'5-1 Fuels'!V41,IF(OR($B10=no,$B10=no),"-",IF($B10=que,que,pres)))</f>
        <v>Present?</v>
      </c>
      <c r="G10" s="489" t="str">
        <f>IF(OR($B10=yes,$B10=yes),'5-1 Fuels'!W41,IF(OR($B10=no,$B10=no),"-",IF($B10=que,que,pres)))</f>
        <v>Present?</v>
      </c>
      <c r="H10" s="489" t="str">
        <f>IF(OR($B10=yes,$B10=yes),'5-1 Fuels'!X41,IF(OR($B10=no,$B10=no),"-",IF($B10=que,que,pres)))</f>
        <v>Present?</v>
      </c>
      <c r="I10" s="489" t="str">
        <f>IF(OR($B10=yes,$B10=yes),'5-1 Fuels'!Y41,IF(OR($B10=no,$B10=no),"-",IF($B10=que,que,pres)))</f>
        <v>Present?</v>
      </c>
      <c r="J10" s="489" t="str">
        <f>IF(OR($B10=yes,$B10=yes),'5-1 Fuels'!Z41,IF(OR($B10=no,$B10=no),"-",IF($B10=que,que,pres)))</f>
        <v>Present?</v>
      </c>
      <c r="K10" s="489" t="str">
        <f>IF(OR($B10=yes,$B10=yes),'5-1 Fuels'!AA41,IF(OR($B10=no,$B10=no),"-",IF($B10=que,que,pres)))</f>
        <v>Present?</v>
      </c>
      <c r="L10" s="276" t="str">
        <f>L9</f>
        <v>5.1.4</v>
      </c>
      <c r="M10" s="492"/>
      <c r="N10" s="346">
        <f>INDEX('Range-thresholds'!$G$6:$G$72,MATCH(A10,'Range-thresholds'!$A$6:$A$72,0))</f>
      </c>
    </row>
    <row r="11" spans="1:14" ht="12.75">
      <c r="A11" s="274" t="str">
        <f>'5-1 Fuels'!C50</f>
        <v>Biomass fired power and heat production</v>
      </c>
      <c r="B11" s="388"/>
      <c r="C11" s="390"/>
      <c r="D11" s="352" t="s">
        <v>987</v>
      </c>
      <c r="E11" s="488" t="str">
        <f>IF(OR($B11=yes,$B11=yes),'5-1 Fuels'!K50,IF(OR($B11=no,$B11=no),"-",IF($B11=que,que,pres)))</f>
        <v>Present?</v>
      </c>
      <c r="F11" s="489" t="str">
        <f>IF(OR($B11=yes,$B11=yes),'5-1 Fuels'!V50,IF(OR($B11=no,$B11=no),"-",IF($B11=que,que,pres)))</f>
        <v>Present?</v>
      </c>
      <c r="G11" s="489" t="str">
        <f>IF(OR($B11=yes,$B11=yes),'5-1 Fuels'!W50,IF(OR($B11=no,$B11=no),"-",IF($B11=que,que,pres)))</f>
        <v>Present?</v>
      </c>
      <c r="H11" s="489" t="str">
        <f>IF(OR($B11=yes,$B11=yes),'5-1 Fuels'!X50,IF(OR($B11=no,$B11=no),"-",IF($B11=que,que,pres)))</f>
        <v>Present?</v>
      </c>
      <c r="I11" s="489" t="str">
        <f>IF(OR($B11=yes,$B11=yes),'5-1 Fuels'!Y50,IF(OR($B11=no,$B11=no),"-",IF($B11=que,que,pres)))</f>
        <v>Present?</v>
      </c>
      <c r="J11" s="489" t="str">
        <f>IF(OR($B11=yes,$B11=yes),'5-1 Fuels'!Z50,IF(OR($B11=no,$B11=no),"-",IF($B11=que,que,pres)))</f>
        <v>Present?</v>
      </c>
      <c r="K11" s="489" t="str">
        <f>IF(OR($B11=yes,$B11=yes),'5-1 Fuels'!AA50,IF(OR($B11=no,$B11=no),"-",IF($B11=que,que,pres)))</f>
        <v>Present?</v>
      </c>
      <c r="L11" s="276" t="str">
        <f>'5-1 Fuels'!B50</f>
        <v>5.1.6</v>
      </c>
      <c r="M11" s="492"/>
      <c r="N11" s="346">
        <f>INDEX('Range-thresholds'!$G$6:$G$72,MATCH(A11,'Range-thresholds'!$A$6:$A$72,0))</f>
      </c>
    </row>
    <row r="12" spans="1:14" ht="13.5" thickBot="1">
      <c r="A12" s="274" t="s">
        <v>446</v>
      </c>
      <c r="B12" s="391"/>
      <c r="C12" s="416"/>
      <c r="D12" s="352" t="s">
        <v>988</v>
      </c>
      <c r="E12" s="488" t="str">
        <f>IF(OR($B12=yes,$B12=yes),'5-1 Fuels'!K51,IF(OR($B12=no,$B12=no),"-",IF($B12=que,que,pres)))</f>
        <v>Present?</v>
      </c>
      <c r="F12" s="489" t="str">
        <f>IF(OR($B12=yes,$B12=yes),'5-1 Fuels'!V51,IF(OR($B12=no,$B12=no),"-",IF($B12=que,que,pres)))</f>
        <v>Present?</v>
      </c>
      <c r="G12" s="489" t="str">
        <f>IF(OR($B12=yes,$B12=yes),'5-1 Fuels'!W51,IF(OR($B12=no,$B12=no),"-",IF($B12=que,que,pres)))</f>
        <v>Present?</v>
      </c>
      <c r="H12" s="489" t="str">
        <f>IF(OR($B12=yes,$B12=yes),'5-1 Fuels'!X51,IF(OR($B12=no,$B12=no),"-",IF($B12=que,que,pres)))</f>
        <v>Present?</v>
      </c>
      <c r="I12" s="489" t="str">
        <f>IF(OR($B12=yes,$B12=yes),'5-1 Fuels'!Y51,IF(OR($B12=no,$B12=no),"-",IF($B12=que,que,pres)))</f>
        <v>Present?</v>
      </c>
      <c r="J12" s="489" t="str">
        <f>IF(OR($B12=yes,$B12=yes),'5-1 Fuels'!Z51,IF(OR($B12=no,$B12=no),"-",IF($B12=que,que,pres)))</f>
        <v>Present?</v>
      </c>
      <c r="K12" s="489" t="str">
        <f>IF(OR($B12=yes,$B12=yes),'5-1 Fuels'!AA51,IF(OR($B12=no,$B12=no),"-",IF($B12=que,que,pres)))</f>
        <v>Present?</v>
      </c>
      <c r="L12" s="276" t="str">
        <f>'5-1 Fuels'!B50</f>
        <v>5.1.6</v>
      </c>
      <c r="M12" s="492"/>
      <c r="N12" s="346">
        <f>INDEX('Range-thresholds'!$G$6:$G$72,MATCH(A12,'Range-thresholds'!$A$6:$A$72,0))</f>
      </c>
    </row>
    <row r="13" spans="1:13" ht="12.75">
      <c r="A13" s="276"/>
      <c r="B13" s="520"/>
      <c r="C13" s="385"/>
      <c r="D13" s="276"/>
      <c r="E13" s="488"/>
      <c r="F13" s="488"/>
      <c r="G13" s="488"/>
      <c r="H13" s="488"/>
      <c r="I13" s="488"/>
      <c r="J13" s="488"/>
      <c r="K13" s="488"/>
      <c r="L13" s="276"/>
      <c r="M13" s="492"/>
    </row>
    <row r="14" spans="1:13" ht="13.5" thickBot="1">
      <c r="A14" s="383" t="s">
        <v>436</v>
      </c>
      <c r="B14" s="519"/>
      <c r="C14" s="393"/>
      <c r="D14" s="276"/>
      <c r="E14" s="488"/>
      <c r="F14" s="488"/>
      <c r="G14" s="488"/>
      <c r="H14" s="488"/>
      <c r="I14" s="488"/>
      <c r="J14" s="488"/>
      <c r="K14" s="488"/>
      <c r="L14" s="276"/>
      <c r="M14" s="492"/>
    </row>
    <row r="15" spans="1:14" ht="12.75">
      <c r="A15" s="392" t="s">
        <v>377</v>
      </c>
      <c r="B15" s="394"/>
      <c r="C15" s="395"/>
      <c r="D15" s="276" t="s">
        <v>989</v>
      </c>
      <c r="E15" s="488" t="str">
        <f>IF(OR($B15=yes,$B15=yes),'5-1 Fuels'!K25,IF(OR($B15=no,$B15=no),"-",IF($B15=que,que,pres)))</f>
        <v>Present?</v>
      </c>
      <c r="F15" s="489" t="str">
        <f>IF(OR($B15=yes,$B15=yes),'5-1 Fuels'!V25,IF(OR($B15=no,$B15=no),"-",IF($B15=que,que,pres)))</f>
        <v>Present?</v>
      </c>
      <c r="G15" s="489" t="str">
        <f>IF(OR($B15=yes,$B15=yes),'5-1 Fuels'!W25,IF(OR($B15=no,$B15=no),"-",IF($B15=que,que,pres)))</f>
        <v>Present?</v>
      </c>
      <c r="H15" s="489" t="str">
        <f>IF(OR($B15=yes,$B15=yes),'5-1 Fuels'!X25,IF(OR($B15=no,$B15=no),"-",IF($B15=que,que,pres)))</f>
        <v>Present?</v>
      </c>
      <c r="I15" s="489" t="str">
        <f>IF(OR($B15=yes,$B15=yes),'5-1 Fuels'!Y25,IF(OR($B15=no,$B15=no),"-",IF($B15=que,que,pres)))</f>
        <v>Present?</v>
      </c>
      <c r="J15" s="489" t="str">
        <f>IF(OR($B15=yes,$B15=yes),'5-1 Fuels'!Z25,IF(OR($B15=no,$B15=no),"-",IF($B15=que,que,pres)))</f>
        <v>Present?</v>
      </c>
      <c r="K15" s="489" t="str">
        <f>IF(OR($B15=yes,$B15=yes),'5-1 Fuels'!AA25,IF(OR($B15=no,$B15=no),"-",IF($B15=que,que,pres)))</f>
        <v>Present?</v>
      </c>
      <c r="L15" s="276" t="str">
        <f>L7</f>
        <v>5.1.3</v>
      </c>
      <c r="M15" s="492"/>
      <c r="N15" s="346">
        <f>INDEX('Range-thresholds'!$G$6:$G$72,MATCH(A15,'Range-thresholds'!$A$6:$A$72,0))</f>
      </c>
    </row>
    <row r="16" spans="1:14" ht="12.75">
      <c r="A16" s="279" t="s">
        <v>375</v>
      </c>
      <c r="B16" s="388"/>
      <c r="C16" s="390"/>
      <c r="D16" s="362" t="s">
        <v>990</v>
      </c>
      <c r="E16" s="488" t="str">
        <f>IF(OR($B16=yes,$B16=yes),'5-1 Fuels'!K26,IF(OR($B16=no,$B16=no),"-",IF($B16=que,que,pres)))</f>
        <v>Present?</v>
      </c>
      <c r="F16" s="489" t="str">
        <f>IF(OR($B16=yes,$B16=yes),'5-1 Fuels'!V26,IF(OR($B16=no,$B16=no),"-",IF($B16=que,que,pres)))</f>
        <v>Present?</v>
      </c>
      <c r="G16" s="489" t="str">
        <f>IF(OR($B16=yes,$B16=yes),'5-1 Fuels'!W26,IF(OR($B16=no,$B16=no),"-",IF($B16=que,que,pres)))</f>
        <v>Present?</v>
      </c>
      <c r="H16" s="489" t="str">
        <f>IF(OR($B16=yes,$B16=yes),'5-1 Fuels'!X26,IF(OR($B16=no,$B16=no),"-",IF($B16=que,que,pres)))</f>
        <v>Present?</v>
      </c>
      <c r="I16" s="489" t="str">
        <f>IF(OR($B16=yes,$B16=yes),'5-1 Fuels'!Y26,IF(OR($B16=no,$B16=no),"-",IF($B16=que,que,pres)))</f>
        <v>Present?</v>
      </c>
      <c r="J16" s="489" t="str">
        <f>IF(OR($B16=yes,$B16=yes),'5-1 Fuels'!Z26,IF(OR($B16=no,$B16=no),"-",IF($B16=que,que,pres)))</f>
        <v>Present?</v>
      </c>
      <c r="K16" s="489" t="str">
        <f>IF(OR($B16=yes,$B16=yes),'5-1 Fuels'!AA26,IF(OR($B16=no,$B16=no),"-",IF($B16=que,que,pres)))</f>
        <v>Present?</v>
      </c>
      <c r="L16" s="276" t="str">
        <f>L15</f>
        <v>5.1.3</v>
      </c>
      <c r="M16" s="492"/>
      <c r="N16" s="346">
        <f>INDEX('Range-thresholds'!$G$6:$G$72,MATCH(A16,'Range-thresholds'!$A$6:$A$72,0))</f>
      </c>
    </row>
    <row r="17" spans="1:14" ht="13.5" thickBot="1">
      <c r="A17" s="279" t="s">
        <v>376</v>
      </c>
      <c r="B17" s="391"/>
      <c r="C17" s="416"/>
      <c r="D17" s="352" t="s">
        <v>991</v>
      </c>
      <c r="E17" s="488" t="str">
        <f>IF(OR($B17=yes,$B17=yes),'5-1 Fuels'!K38,IF(OR($B17=no,$B17=no),"-",IF($B17=que,que,pres)))</f>
        <v>Present?</v>
      </c>
      <c r="F17" s="489" t="str">
        <f>IF(OR($B17=yes,$B17=yes),'5-1 Fuels'!V37,IF(OR($B17=no,$B17=no),"-",IF($B17=que,que,pres)))</f>
        <v>Present?</v>
      </c>
      <c r="G17" s="489" t="str">
        <f>IF(OR($B17=yes,$B17=yes),'5-1 Fuels'!W37,IF(OR($B17=no,$B17=no),"-",IF($B17=que,que,pres)))</f>
        <v>Present?</v>
      </c>
      <c r="H17" s="489" t="str">
        <f>IF(OR($B17=yes,$B17=yes),'5-1 Fuels'!X37,IF(OR($B17=no,$B17=no),"-",IF($B17=que,que,pres)))</f>
        <v>Present?</v>
      </c>
      <c r="I17" s="489" t="str">
        <f>IF(OR($B17=yes,$B17=yes),'5-1 Fuels'!Y37,IF(OR($B17=no,$B17=no),"-",IF($B17=que,que,pres)))</f>
        <v>Present?</v>
      </c>
      <c r="J17" s="489" t="str">
        <f>IF(OR($B17=yes,$B17=yes),'5-1 Fuels'!Z37,IF(OR($B17=no,$B17=no),"-",IF($B17=que,que,pres)))</f>
        <v>Present?</v>
      </c>
      <c r="K17" s="489" t="str">
        <f>IF(OR($B17=yes,$B17=yes),'5-1 Fuels'!AA37,IF(OR($B17=no,$B17=no),"-",IF($B17=que,que,pres)))</f>
        <v>Present?</v>
      </c>
      <c r="L17" s="276" t="str">
        <f>'5-1 Fuels'!B37</f>
        <v>5.1.4</v>
      </c>
      <c r="M17" s="492"/>
      <c r="N17" s="346">
        <f>INDEX('Range-thresholds'!$G$6:$G$72,MATCH(A17,'Range-thresholds'!$A$6:$A$72,0))</f>
      </c>
    </row>
    <row r="20" ht="12.75">
      <c r="A20" s="683" t="s">
        <v>983</v>
      </c>
    </row>
    <row r="21" ht="12.75">
      <c r="A21" s="683" t="s">
        <v>984</v>
      </c>
    </row>
  </sheetData>
  <sheetProtection password="83AF" sheet="1"/>
  <mergeCells count="2">
    <mergeCell ref="F3:K3"/>
    <mergeCell ref="A2:L2"/>
  </mergeCells>
  <conditionalFormatting sqref="A2">
    <cfRule type="expression" priority="1" dxfId="0" stopIfTrue="1">
      <formula>$A$2&lt;&gt;""</formula>
    </cfRule>
  </conditionalFormatting>
  <conditionalFormatting sqref="E5:E17">
    <cfRule type="expression" priority="3" dxfId="0" stopIfTrue="1">
      <formula>AND(B5="y",N5="n")</formula>
    </cfRule>
  </conditionalFormatting>
  <dataValidations count="2">
    <dataValidation type="decimal" allowBlank="1" showInputMessage="1" showErrorMessage="1" promptTitle="Input cell" prompt="Use digits and decimal mark only." errorTitle="Input error" error="Use digits and decimal mark only." sqref="C5:C17">
      <formula1>-99999999999999900000000</formula1>
      <formula2>9.99999999999999E+22</formula2>
    </dataValidation>
    <dataValidation type="list" allowBlank="1" showInputMessage="1" showErrorMessage="1" errorTitle="Input error" error="Enter only y, n or ? (or translation of these)" sqref="B5:B12 B15:B17">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78" r:id="rId1"/>
  <headerFooter>
    <oddFooter>&amp;L&amp;A
Printed &amp;D</oddFooter>
  </headerFooter>
</worksheet>
</file>

<file path=xl/worksheets/sheet20.xml><?xml version="1.0" encoding="utf-8"?>
<worksheet xmlns="http://schemas.openxmlformats.org/spreadsheetml/2006/main" xmlns:r="http://schemas.openxmlformats.org/officeDocument/2006/relationships">
  <dimension ref="A1:E80"/>
  <sheetViews>
    <sheetView zoomScalePageLayoutView="0" workbookViewId="0" topLeftCell="A1">
      <selection activeCell="D22" sqref="D22"/>
    </sheetView>
  </sheetViews>
  <sheetFormatPr defaultColWidth="9.140625" defaultRowHeight="12.75"/>
  <cols>
    <col min="1" max="1" width="46.8515625" style="346" customWidth="1"/>
    <col min="2" max="2" width="10.28125" style="367" customWidth="1"/>
    <col min="3" max="3" width="13.57421875" style="346" customWidth="1"/>
    <col min="4" max="4" width="33.57421875" style="346" customWidth="1"/>
    <col min="5" max="5" width="12.421875" style="346" customWidth="1"/>
    <col min="6" max="16384" width="9.140625" style="346" customWidth="1"/>
  </cols>
  <sheetData>
    <row r="1" spans="1:2" ht="12.75">
      <c r="A1" s="363" t="s">
        <v>524</v>
      </c>
      <c r="B1" s="364"/>
    </row>
    <row r="2" spans="1:5" s="368" customFormat="1" ht="38.25" customHeight="1">
      <c r="A2" s="266" t="s">
        <v>323</v>
      </c>
      <c r="B2" s="267" t="s">
        <v>381</v>
      </c>
      <c r="C2" s="266"/>
      <c r="D2" s="266"/>
      <c r="E2" s="267" t="s">
        <v>373</v>
      </c>
    </row>
    <row r="3" spans="1:5" ht="25.5">
      <c r="A3" s="438"/>
      <c r="B3" s="351" t="str">
        <f>quest</f>
        <v>Y/N/?</v>
      </c>
      <c r="C3" s="272" t="s">
        <v>518</v>
      </c>
      <c r="D3" s="272" t="s">
        <v>35</v>
      </c>
      <c r="E3" s="267" t="s">
        <v>378</v>
      </c>
    </row>
    <row r="4" spans="1:5" ht="12.75">
      <c r="A4" s="408" t="str">
        <f>'Range-thresholds'!A5</f>
        <v>Energy consumption</v>
      </c>
      <c r="B4" s="381"/>
      <c r="C4" s="445"/>
      <c r="D4" s="308"/>
      <c r="E4" s="445"/>
    </row>
    <row r="5" spans="1:5" ht="12.75">
      <c r="A5" s="266" t="str">
        <f>'Range-thresholds'!A6</f>
        <v>Coal combustion in large power plants</v>
      </c>
      <c r="B5" s="272" t="str">
        <f>IF(OR('Step2-Energy'!B5=yes,'Step2-Energy'!B5=no,'Step2-Energy'!B5=que),'Step2-Energy'!B5,pres)</f>
        <v>Present?</v>
      </c>
      <c r="C5" s="448">
        <f>'Level 1- total summary'!C5</f>
        <v>0</v>
      </c>
      <c r="D5" s="266" t="str">
        <f>'Step2-Energy'!D5</f>
        <v>Coal combusted, t/y </v>
      </c>
      <c r="E5" s="448" t="str">
        <f>'Level 1- total summary'!E5</f>
        <v>Present?</v>
      </c>
    </row>
    <row r="6" spans="1:5" ht="12.75">
      <c r="A6" s="266" t="str">
        <f>'Range-thresholds'!A7</f>
        <v>Other coal uses</v>
      </c>
      <c r="B6" s="272" t="str">
        <f>IF(OR('Step2-Energy'!B6=yes,'Step2-Energy'!B6=no,'Step2-Energy'!B6=que),'Step2-Energy'!B6,pres)</f>
        <v>Present?</v>
      </c>
      <c r="C6" s="448">
        <f>'Level 1- total summary'!C6</f>
        <v>0</v>
      </c>
      <c r="D6" s="266" t="str">
        <f>'Step2-Energy'!D6</f>
        <v>Coal used, t/y</v>
      </c>
      <c r="E6" s="448" t="str">
        <f>'Level 1- total summary'!E6</f>
        <v>Present?</v>
      </c>
    </row>
    <row r="7" spans="1:5" ht="12.75">
      <c r="A7" s="266" t="str">
        <f>'Range-thresholds'!A8</f>
        <v>Combustion/use of petroleum coke and heavy oil</v>
      </c>
      <c r="B7" s="272" t="str">
        <f>IF(OR('Step2-Energy'!B7=yes,'Step2-Energy'!B7=no,'Step2-Energy'!B7=que),'Step2-Energy'!B7,pres)</f>
        <v>Present?</v>
      </c>
      <c r="C7" s="448">
        <f>'Level 1- total summary'!C7</f>
        <v>0</v>
      </c>
      <c r="D7" s="266" t="str">
        <f>'Step2-Energy'!D7</f>
        <v>Oil product combusted, t/y</v>
      </c>
      <c r="E7" s="448" t="str">
        <f>'Level 1- total summary'!E7</f>
        <v>Present?</v>
      </c>
    </row>
    <row r="8" spans="1:5" ht="15.75" customHeight="1">
      <c r="A8" s="266" t="str">
        <f>'Range-thresholds'!A9</f>
        <v>Combustion/use of diesel, gasoil, petroleum, kerosene</v>
      </c>
      <c r="B8" s="272" t="str">
        <f>IF(OR('Step2-Energy'!B8=yes,'Step2-Energy'!B8=no,'Step2-Energy'!B8=que),'Step2-Energy'!B8,pres)</f>
        <v>Present?</v>
      </c>
      <c r="C8" s="448">
        <f>'Level 1- total summary'!C8</f>
        <v>0</v>
      </c>
      <c r="D8" s="266" t="str">
        <f>'Step2-Energy'!D8</f>
        <v>Oil product combusted, t/y</v>
      </c>
      <c r="E8" s="448" t="str">
        <f>'Level 1- total summary'!E8</f>
        <v>Present?</v>
      </c>
    </row>
    <row r="9" spans="1:5" ht="15.75" customHeight="1">
      <c r="A9" s="266" t="str">
        <f>'Range-thresholds'!A10</f>
        <v>Use of raw or pre-cleaned natural gas</v>
      </c>
      <c r="B9" s="272" t="str">
        <f>IF(OR('Step2-Energy'!B9=yes,'Step2-Energy'!B9=no,'Step2-Energy'!B9=que),'Step2-Energy'!B9,pres)</f>
        <v>Present?</v>
      </c>
      <c r="C9" s="448">
        <f>'Level 1- total summary'!C9</f>
        <v>0</v>
      </c>
      <c r="D9" s="266" t="str">
        <f>'Step2-Energy'!D9</f>
        <v>Gas used, Nm³/y</v>
      </c>
      <c r="E9" s="448" t="str">
        <f>'Level 1- total summary'!E9</f>
        <v>Present?</v>
      </c>
    </row>
    <row r="10" spans="1:5" ht="15.75" customHeight="1">
      <c r="A10" s="266" t="str">
        <f>'Range-thresholds'!A11</f>
        <v>Use of pipeline gas (consumer quality)</v>
      </c>
      <c r="B10" s="272" t="str">
        <f>IF(OR('Step2-Energy'!B10=yes,'Step2-Energy'!B10=no,'Step2-Energy'!B10=que),'Step2-Energy'!B10,pres)</f>
        <v>Present?</v>
      </c>
      <c r="C10" s="448">
        <f>'Level 1- total summary'!C10</f>
        <v>0</v>
      </c>
      <c r="D10" s="266" t="str">
        <f>'Step2-Energy'!D10</f>
        <v>Gas used, Nm³/y</v>
      </c>
      <c r="E10" s="448" t="str">
        <f>'Level 1- total summary'!E10</f>
        <v>Present?</v>
      </c>
    </row>
    <row r="11" spans="1:5" ht="12.75">
      <c r="A11" s="266" t="str">
        <f>'Range-thresholds'!A12</f>
        <v>Biomass fired power and heat production</v>
      </c>
      <c r="B11" s="272" t="str">
        <f>IF(OR('Step2-Energy'!B11=yes,'Step2-Energy'!B11=no,'Step2-Energy'!B11=que),'Step2-Energy'!B11,pres)</f>
        <v>Present?</v>
      </c>
      <c r="C11" s="448">
        <f>'Level 1- total summary'!C11</f>
        <v>0</v>
      </c>
      <c r="D11" s="266" t="str">
        <f>'Step2-Energy'!D11</f>
        <v>Biomass combusted, t/y</v>
      </c>
      <c r="E11" s="448" t="str">
        <f>'Level 1- total summary'!E11</f>
        <v>Present?</v>
      </c>
    </row>
    <row r="12" spans="1:5" ht="12.75">
      <c r="A12" s="266" t="str">
        <f>'Range-thresholds'!A13</f>
        <v>Charcoal combustion</v>
      </c>
      <c r="B12" s="272" t="str">
        <f>IF(OR('Step2-Energy'!B12=yes,'Step2-Energy'!B12=no,'Step2-Energy'!B12=que),'Step2-Energy'!B12,pres)</f>
        <v>Present?</v>
      </c>
      <c r="C12" s="448">
        <f>'Level 1- total summary'!C12</f>
        <v>0</v>
      </c>
      <c r="D12" s="266" t="str">
        <f>'Step2-Energy'!D12</f>
        <v>Charcoal combusted, t/y</v>
      </c>
      <c r="E12" s="448" t="str">
        <f>'Level 1- total summary'!E12</f>
        <v>Present?</v>
      </c>
    </row>
    <row r="13" spans="1:5" ht="12.75">
      <c r="A13" s="408" t="str">
        <f>'Range-thresholds'!A14</f>
        <v>Fuel production</v>
      </c>
      <c r="B13" s="308"/>
      <c r="C13" s="308"/>
      <c r="D13" s="380"/>
      <c r="E13" s="380"/>
    </row>
    <row r="14" spans="1:5" ht="12.75">
      <c r="A14" s="266" t="str">
        <f>'Range-thresholds'!A15</f>
        <v>Oil extraction</v>
      </c>
      <c r="B14" s="272" t="str">
        <f>IF(OR('Step2-Energy'!B15=yes,'Step2-Energy'!B15=no,'Step2-Energy'!B15=que),'Step2-Energy'!B15,pres)</f>
        <v>Present?</v>
      </c>
      <c r="C14" s="448">
        <f>'Level 1- total summary'!C14</f>
        <v>0</v>
      </c>
      <c r="D14" s="266" t="str">
        <f>'Step2-Energy'!D15</f>
        <v>Crude oil produced, t/y</v>
      </c>
      <c r="E14" s="448" t="str">
        <f>'Level 1- total summary'!E14</f>
        <v>Present?</v>
      </c>
    </row>
    <row r="15" spans="1:5" ht="12.75">
      <c r="A15" s="266" t="str">
        <f>'Range-thresholds'!A16</f>
        <v>Oil refining</v>
      </c>
      <c r="B15" s="272" t="str">
        <f>IF(OR('Step2-Energy'!B16=yes,'Step2-Energy'!B16=no,'Step2-Energy'!B16=que),'Step2-Energy'!B16,pres)</f>
        <v>Present?</v>
      </c>
      <c r="C15" s="448">
        <f>'Level 1- total summary'!C15</f>
        <v>0</v>
      </c>
      <c r="D15" s="266" t="str">
        <f>'Step2-Energy'!D16</f>
        <v>Crude oil refined, t/y</v>
      </c>
      <c r="E15" s="448" t="str">
        <f>'Level 1- total summary'!E15</f>
        <v>Present?</v>
      </c>
    </row>
    <row r="16" spans="1:5" ht="12.75">
      <c r="A16" s="266" t="str">
        <f>'Range-thresholds'!A17</f>
        <v>Extraction and processing of natural gas</v>
      </c>
      <c r="B16" s="272" t="str">
        <f>IF(OR('Step2-Energy'!B17=yes,'Step2-Energy'!B17=no,'Step2-Energy'!B17=que),'Step2-Energy'!B17,pres)</f>
        <v>Present?</v>
      </c>
      <c r="C16" s="448">
        <f>'Level 1- total summary'!C16</f>
        <v>0</v>
      </c>
      <c r="D16" s="266" t="str">
        <f>'Step2-Energy'!D17</f>
        <v>Gas produced, Nm³/y</v>
      </c>
      <c r="E16" s="448" t="str">
        <f>'Level 1- total summary'!E16</f>
        <v>Present?</v>
      </c>
    </row>
    <row r="17" spans="1:5" ht="12.75">
      <c r="A17" s="408" t="str">
        <f>'Range-thresholds'!A18</f>
        <v>Primary metal production</v>
      </c>
      <c r="B17" s="308"/>
      <c r="C17" s="308"/>
      <c r="D17" s="380"/>
      <c r="E17" s="380"/>
    </row>
    <row r="18" spans="1:5" ht="12.75">
      <c r="A18" s="266" t="str">
        <f>'Range-thresholds'!A19</f>
        <v>Mercury (primary) extraction and initial processing</v>
      </c>
      <c r="B18" s="272" t="str">
        <f>IF(OR('Step3-Metals-RawMat'!B6=yes,'Step3-Metals-RawMat'!B6=no,'Step3-Metals-RawMat'!B6=que),'Step3-Metals-RawMat'!B6,pres)</f>
        <v>Present?</v>
      </c>
      <c r="C18" s="448">
        <f>'Level 1- total summary'!C18</f>
        <v>0</v>
      </c>
      <c r="D18" s="266" t="str">
        <f>'Step3-Metals-RawMat'!D6</f>
        <v>Mercury produced, t/y</v>
      </c>
      <c r="E18" s="448" t="str">
        <f>'Level 1- total summary'!E18</f>
        <v>Present?</v>
      </c>
    </row>
    <row r="19" spans="1:5" ht="12.75">
      <c r="A19" s="266" t="str">
        <f>'Range-thresholds'!A20</f>
        <v>Production of zinc from concentrates</v>
      </c>
      <c r="B19" s="272" t="str">
        <f>IF(OR('Step3-Metals-RawMat'!B7=yes,'Step3-Metals-RawMat'!B7=no,'Step3-Metals-RawMat'!B7=que),'Step3-Metals-RawMat'!B7,pres)</f>
        <v>Present?</v>
      </c>
      <c r="C19" s="448">
        <f>'Level 1- total summary'!C19</f>
        <v>0</v>
      </c>
      <c r="D19" s="266" t="str">
        <f>'Step3-Metals-RawMat'!D7</f>
        <v>Concentrate used, t/y</v>
      </c>
      <c r="E19" s="448" t="str">
        <f>'Level 1- total summary'!E19</f>
        <v>Present?</v>
      </c>
    </row>
    <row r="20" spans="1:5" ht="12.75">
      <c r="A20" s="266" t="str">
        <f>'Range-thresholds'!A21</f>
        <v>Production of copper from concentrates</v>
      </c>
      <c r="B20" s="272" t="str">
        <f>IF(OR('Step3-Metals-RawMat'!B8=yes,'Step3-Metals-RawMat'!B8=no,'Step3-Metals-RawMat'!B8=que),'Step3-Metals-RawMat'!B8,pres)</f>
        <v>Present?</v>
      </c>
      <c r="C20" s="448">
        <f>'Level 1- total summary'!C20</f>
        <v>0</v>
      </c>
      <c r="D20" s="266" t="str">
        <f>'Step3-Metals-RawMat'!D8</f>
        <v>Concentrate used, t/y</v>
      </c>
      <c r="E20" s="448" t="str">
        <f>'Level 1- total summary'!E20</f>
        <v>Present?</v>
      </c>
    </row>
    <row r="21" spans="1:5" ht="12.75">
      <c r="A21" s="266" t="str">
        <f>'Range-thresholds'!A22</f>
        <v>Production of lead from concentrates</v>
      </c>
      <c r="B21" s="272" t="str">
        <f>IF(OR('Step3-Metals-RawMat'!B9=yes,'Step3-Metals-RawMat'!B9=no,'Step3-Metals-RawMat'!B9=que),'Step3-Metals-RawMat'!B9,pres)</f>
        <v>Present?</v>
      </c>
      <c r="C21" s="448">
        <f>'Level 1- total summary'!C21</f>
        <v>0</v>
      </c>
      <c r="D21" s="266" t="str">
        <f>'Step3-Metals-RawMat'!D9</f>
        <v>Concentrate used, t/y</v>
      </c>
      <c r="E21" s="448" t="str">
        <f>'Level 1- total summary'!E21</f>
        <v>Present?</v>
      </c>
    </row>
    <row r="22" spans="1:5" ht="25.5">
      <c r="A22" s="266" t="str">
        <f>'Range-thresholds'!A23</f>
        <v>Gold extraction by methods other than mercury amalgamation</v>
      </c>
      <c r="B22" s="272" t="str">
        <f>IF(OR('Step3-Metals-RawMat'!B10=yes,'Step3-Metals-RawMat'!B10=no,'Step3-Metals-RawMat'!B10=que),'Step3-Metals-RawMat'!B10,pres)</f>
        <v>Present?</v>
      </c>
      <c r="C22" s="448">
        <f>'Level 1- total summary'!C22</f>
        <v>0</v>
      </c>
      <c r="D22" s="266" t="str">
        <f>'Step3-Metals-RawMat'!D10</f>
        <v>Gold ore used, t/y</v>
      </c>
      <c r="E22" s="448" t="str">
        <f>'Level 1- total summary'!E22</f>
        <v>Present?</v>
      </c>
    </row>
    <row r="23" spans="1:5" ht="16.5" customHeight="1">
      <c r="A23" s="266" t="str">
        <f>'Range-thresholds'!A24</f>
        <v>Alumina production from bauxite (aluminium production)</v>
      </c>
      <c r="B23" s="272" t="str">
        <f>IF(OR('Step3-Metals-RawMat'!B11=yes,'Step3-Metals-RawMat'!B11=no,'Step3-Metals-RawMat'!B11=que),'Step3-Metals-RawMat'!B11,pres)</f>
        <v>Present?</v>
      </c>
      <c r="C23" s="448">
        <f>'Level 1- total summary'!C23</f>
        <v>0</v>
      </c>
      <c r="D23" s="266" t="str">
        <f>'Step3-Metals-RawMat'!D11</f>
        <v>Bauxit processed, t/y</v>
      </c>
      <c r="E23" s="448" t="str">
        <f>'Level 1- total summary'!E23</f>
        <v>Present?</v>
      </c>
    </row>
    <row r="24" spans="1:5" ht="21" customHeight="1">
      <c r="A24" s="266" t="str">
        <f>'Range-thresholds'!A25</f>
        <v>Primary ferrous metal production (pig iron production)</v>
      </c>
      <c r="B24" s="272" t="str">
        <f>IF(OR('Step3-Metals-RawMat'!B12=yes,'Step3-Metals-RawMat'!B12=no,'Step3-Metals-RawMat'!B12=que),'Step3-Metals-RawMat'!B12,pres)</f>
        <v>Present?</v>
      </c>
      <c r="C24" s="448">
        <f>'Level 1- total summary'!C24</f>
        <v>0</v>
      </c>
      <c r="D24" s="266" t="str">
        <f>'Step3-Metals-RawMat'!D12</f>
        <v>Pig iron produced, t/y</v>
      </c>
      <c r="E24" s="448" t="str">
        <f>'Level 1- total summary'!E24</f>
        <v>Present?</v>
      </c>
    </row>
    <row r="25" spans="1:5" ht="25.5">
      <c r="A25" s="266" t="str">
        <f>'Range-thresholds'!A26</f>
        <v>Gold extraction with mercury amalgamation - without use of retort</v>
      </c>
      <c r="B25" s="272" t="str">
        <f>IF(OR('Step3-Metals-RawMat'!B13=yes,'Step3-Metals-RawMat'!B13=no,'Step3-Metals-RawMat'!B13=que),'Step3-Metals-RawMat'!B13,pres)</f>
        <v>Present?</v>
      </c>
      <c r="C25" s="448">
        <f>'Level 1- total summary'!C25</f>
        <v>0</v>
      </c>
      <c r="D25" s="266" t="str">
        <f>'Step3-Metals-RawMat'!D13</f>
        <v>Gold produced, kg/y</v>
      </c>
      <c r="E25" s="448" t="str">
        <f>'Level 1- total summary'!E25</f>
        <v>Present?</v>
      </c>
    </row>
    <row r="26" spans="1:5" ht="25.5">
      <c r="A26" s="266" t="str">
        <f>'Range-thresholds'!A27</f>
        <v>Gold extraction with mercury amalgamation - with use of retorts</v>
      </c>
      <c r="B26" s="272" t="str">
        <f>IF(OR('Step3-Metals-RawMat'!B14=yes,'Step3-Metals-RawMat'!B14=no,'Step3-Metals-RawMat'!B14=que),'Step3-Metals-RawMat'!B14,pres)</f>
        <v>Present?</v>
      </c>
      <c r="C26" s="448">
        <f>'Level 1- total summary'!C26</f>
        <v>0</v>
      </c>
      <c r="D26" s="266" t="str">
        <f>'Step3-Metals-RawMat'!D14</f>
        <v>Gold produced, kg/y</v>
      </c>
      <c r="E26" s="448" t="str">
        <f>'Level 1- total summary'!E26</f>
        <v>Present?</v>
      </c>
    </row>
    <row r="27" spans="1:5" ht="17.25" customHeight="1">
      <c r="A27" s="408" t="str">
        <f>'Range-thresholds'!A28</f>
        <v>Other materials production</v>
      </c>
      <c r="B27" s="308"/>
      <c r="C27" s="308"/>
      <c r="D27" s="380"/>
      <c r="E27" s="380"/>
    </row>
    <row r="28" spans="1:5" ht="12.75">
      <c r="A28" s="266" t="str">
        <f>'Range-thresholds'!A29</f>
        <v>Cement production</v>
      </c>
      <c r="B28" s="272" t="str">
        <f>IF(OR('Step3-Metals-RawMat'!B16=yes,'Step3-Metals-RawMat'!B16=no,'Step3-Metals-RawMat'!B16=que),'Step3-Metals-RawMat'!B16,pres)</f>
        <v>Present?</v>
      </c>
      <c r="C28" s="448">
        <f>'Level 1- total summary'!C28</f>
        <v>0</v>
      </c>
      <c r="D28" s="266" t="str">
        <f>'Step3-Metals-RawMat'!D16</f>
        <v>Cement produced, t/y</v>
      </c>
      <c r="E28" s="448" t="str">
        <f>'Level 1- total summary'!E28</f>
        <v>Present?</v>
      </c>
    </row>
    <row r="29" spans="1:5" ht="12.75">
      <c r="A29" s="266" t="str">
        <f>'Range-thresholds'!A30</f>
        <v>Pulp and paper production</v>
      </c>
      <c r="B29" s="272" t="str">
        <f>IF(OR('Step3-Metals-RawMat'!B17=yes,'Step3-Metals-RawMat'!B17=no,'Step3-Metals-RawMat'!B17=que),'Step3-Metals-RawMat'!B17,pres)</f>
        <v>Present?</v>
      </c>
      <c r="C29" s="448">
        <f>'Level 1- total summary'!C29</f>
        <v>0</v>
      </c>
      <c r="D29" s="266" t="str">
        <f>'Step3-Metals-RawMat'!D17</f>
        <v>Biomass used for production, t/y</v>
      </c>
      <c r="E29" s="448" t="str">
        <f>'Level 1- total summary'!E29</f>
        <v>Present?</v>
      </c>
    </row>
    <row r="30" spans="1:5" ht="12.75">
      <c r="A30" s="408" t="str">
        <f>'Range-thresholds'!A31</f>
        <v>Production of chemicals</v>
      </c>
      <c r="B30" s="308"/>
      <c r="C30" s="308"/>
      <c r="D30" s="309"/>
      <c r="E30" s="309"/>
    </row>
    <row r="31" spans="1:5" ht="12.75">
      <c r="A31" s="266" t="str">
        <f>'Range-thresholds'!A32</f>
        <v>Chlor-alkali production with mercury-cells</v>
      </c>
      <c r="B31" s="272" t="str">
        <f>IF(OR('Step4-Industrial Hg use'!B5=yes,'Step4-Industrial Hg use'!B5=no,'Step4-Industrial Hg use'!B5=que),'Step4-Industrial Hg use'!B5,pres)</f>
        <v>Present?</v>
      </c>
      <c r="C31" s="448">
        <f>'Level 1- total summary'!C31</f>
        <v>0</v>
      </c>
      <c r="D31" s="277" t="str">
        <f>'Step4-Industrial Hg use'!D5</f>
        <v>Cl2 produced, t/y </v>
      </c>
      <c r="E31" s="448" t="str">
        <f>'Level 1- total summary'!E31</f>
        <v>Present?</v>
      </c>
    </row>
    <row r="32" spans="1:5" ht="12.75">
      <c r="A32" s="266" t="str">
        <f>'Range-thresholds'!A33</f>
        <v>VCM production with mercury catalyst</v>
      </c>
      <c r="B32" s="272" t="str">
        <f>IF(OR('Step4-Industrial Hg use'!B6=yes,'Step4-Industrial Hg use'!B6=no,'Step4-Industrial Hg use'!B6=que),'Step4-Industrial Hg use'!B6,pres)</f>
        <v>Present?</v>
      </c>
      <c r="C32" s="448">
        <f>'Level 1- total summary'!C32</f>
        <v>0</v>
      </c>
      <c r="D32" s="277" t="str">
        <f>'Step4-Industrial Hg use'!D6</f>
        <v>VCM produced, t/y </v>
      </c>
      <c r="E32" s="448" t="str">
        <f>'Level 1- total summary'!E32</f>
        <v>Present?</v>
      </c>
    </row>
    <row r="33" spans="1:5" ht="12.75">
      <c r="A33" s="266" t="str">
        <f>'Range-thresholds'!A34</f>
        <v>Acetaldehyde production with mercury catalyst</v>
      </c>
      <c r="B33" s="272" t="str">
        <f>IF(OR('Step4-Industrial Hg use'!B7=yes,'Step4-Industrial Hg use'!B7=no,'Step4-Industrial Hg use'!B7=que),'Step4-Industrial Hg use'!B7,pres)</f>
        <v>Present?</v>
      </c>
      <c r="C33" s="448">
        <f>'Level 1- total summary'!C33</f>
        <v>0</v>
      </c>
      <c r="D33" s="277" t="str">
        <f>'Step4-Industrial Hg use'!D7</f>
        <v>Acetaldehyde produced, t/y</v>
      </c>
      <c r="E33" s="448" t="str">
        <f>'Level 1- total summary'!E33</f>
        <v>Present?</v>
      </c>
    </row>
    <row r="34" spans="1:5" ht="12.75">
      <c r="A34" s="408" t="str">
        <f>'Range-thresholds'!A35</f>
        <v>Production of products with mercury content</v>
      </c>
      <c r="B34" s="308"/>
      <c r="C34" s="308"/>
      <c r="D34" s="309"/>
      <c r="E34" s="309"/>
    </row>
    <row r="35" spans="1:5" ht="12.75">
      <c r="A35" s="266" t="str">
        <f>'Range-thresholds'!A36</f>
        <v>Hg thermometers (medical, air, lab, industrial etc.) </v>
      </c>
      <c r="B35" s="272" t="str">
        <f>IF(OR('Step4-Industrial Hg use'!B10=yes,'Step4-Industrial Hg use'!B10=no,'Step4-Industrial Hg use'!B10=que),'Step4-Industrial Hg use'!B10,pres)</f>
        <v>Present?</v>
      </c>
      <c r="C35" s="448">
        <f>'Level 1- total summary'!C35</f>
        <v>0</v>
      </c>
      <c r="D35" s="277" t="str">
        <f>'Step4-Industrial Hg use'!D10</f>
        <v>Mercury used for production, kg/y</v>
      </c>
      <c r="E35" s="448" t="str">
        <f>'Level 1- total summary'!E35</f>
        <v>Present?</v>
      </c>
    </row>
    <row r="36" spans="1:5" ht="12.75">
      <c r="A36" s="266" t="str">
        <f>'Range-thresholds'!A37</f>
        <v>Electrical switches and relays with mercury </v>
      </c>
      <c r="B36" s="272" t="str">
        <f>IF(OR('Step4-Industrial Hg use'!B11=yes,'Step4-Industrial Hg use'!B11=no,'Step4-Industrial Hg use'!B11=que),'Step4-Industrial Hg use'!B11,pres)</f>
        <v>Present?</v>
      </c>
      <c r="C36" s="448">
        <f>'Level 1- total summary'!C36</f>
        <v>0</v>
      </c>
      <c r="D36" s="277" t="str">
        <f>'Step4-Industrial Hg use'!D11</f>
        <v>Mercury used for production, kg/y</v>
      </c>
      <c r="E36" s="448" t="str">
        <f>'Level 1- total summary'!E36</f>
        <v>Present?</v>
      </c>
    </row>
    <row r="37" spans="1:5" ht="25.5">
      <c r="A37" s="266" t="str">
        <f>'Range-thresholds'!A38</f>
        <v>Light sources with mercury (fluorescent, compact, others: see guideline) </v>
      </c>
      <c r="B37" s="272" t="str">
        <f>IF(OR('Step4-Industrial Hg use'!B12=yes,'Step4-Industrial Hg use'!B12=no,'Step4-Industrial Hg use'!B12=que),'Step4-Industrial Hg use'!B12,pres)</f>
        <v>Present?</v>
      </c>
      <c r="C37" s="448">
        <f>'Level 1- total summary'!C37</f>
        <v>0</v>
      </c>
      <c r="D37" s="277" t="str">
        <f>'Step4-Industrial Hg use'!D12</f>
        <v>Mercury used for production, kg/y</v>
      </c>
      <c r="E37" s="448" t="str">
        <f>'Level 1- total summary'!E37</f>
        <v>Present?</v>
      </c>
    </row>
    <row r="38" spans="1:5" ht="12.75">
      <c r="A38" s="266" t="str">
        <f>'Range-thresholds'!A39</f>
        <v>Batteries with mercury </v>
      </c>
      <c r="B38" s="272" t="str">
        <f>IF(OR('Step4-Industrial Hg use'!B13=yes,'Step4-Industrial Hg use'!B13=no,'Step4-Industrial Hg use'!B13=que),'Step4-Industrial Hg use'!B13,pres)</f>
        <v>Present?</v>
      </c>
      <c r="C38" s="448">
        <f>'Level 1- total summary'!C38</f>
        <v>0</v>
      </c>
      <c r="D38" s="277" t="str">
        <f>'Step4-Industrial Hg use'!D13</f>
        <v>Mercury used for production, kg/y</v>
      </c>
      <c r="E38" s="448" t="str">
        <f>'Level 1- total summary'!E38</f>
        <v>Present?</v>
      </c>
    </row>
    <row r="39" spans="1:5" ht="12.75">
      <c r="A39" s="266" t="str">
        <f>'Range-thresholds'!A40</f>
        <v>Manometers and gauges with mercury </v>
      </c>
      <c r="B39" s="272" t="str">
        <f>IF(OR('Step4-Industrial Hg use'!B14=yes,'Step4-Industrial Hg use'!B14=no,'Step4-Industrial Hg use'!B14=que),'Step4-Industrial Hg use'!B14,pres)</f>
        <v>Present?</v>
      </c>
      <c r="C39" s="448">
        <f>'Level 1- total summary'!C39</f>
        <v>0</v>
      </c>
      <c r="D39" s="277" t="str">
        <f>'Step4-Industrial Hg use'!D14</f>
        <v>Mercury used for production, kg/y</v>
      </c>
      <c r="E39" s="448" t="str">
        <f>'Level 1- total summary'!E39</f>
        <v>Present?</v>
      </c>
    </row>
    <row r="40" spans="1:5" ht="12.75">
      <c r="A40" s="266" t="str">
        <f>'Range-thresholds'!A41</f>
        <v>Biocides and pesticides with mercury </v>
      </c>
      <c r="B40" s="272" t="str">
        <f>IF(OR('Step4-Industrial Hg use'!B15=yes,'Step4-Industrial Hg use'!B15=no,'Step4-Industrial Hg use'!B15=que),'Step4-Industrial Hg use'!B15,pres)</f>
        <v>Present?</v>
      </c>
      <c r="C40" s="448">
        <f>'Level 1- total summary'!C40</f>
        <v>0</v>
      </c>
      <c r="D40" s="277" t="str">
        <f>'Step4-Industrial Hg use'!D15</f>
        <v>Mercury used for production, kg/y</v>
      </c>
      <c r="E40" s="448" t="str">
        <f>'Level 1- total summary'!E40</f>
        <v>Present?</v>
      </c>
    </row>
    <row r="41" spans="1:5" ht="12.75">
      <c r="A41" s="266" t="str">
        <f>'Range-thresholds'!A42</f>
        <v>Paints with mercury </v>
      </c>
      <c r="B41" s="272" t="str">
        <f>IF(OR('Step4-Industrial Hg use'!B16=yes,'Step4-Industrial Hg use'!B16=no,'Step4-Industrial Hg use'!B16=que),'Step4-Industrial Hg use'!B16,pres)</f>
        <v>Present?</v>
      </c>
      <c r="C41" s="448">
        <f>'Level 1- total summary'!C41</f>
        <v>0</v>
      </c>
      <c r="D41" s="277" t="str">
        <f>'Step4-Industrial Hg use'!D16</f>
        <v>Mercury used for production, kg/y</v>
      </c>
      <c r="E41" s="448" t="str">
        <f>'Level 1- total summary'!E41</f>
        <v>Present?</v>
      </c>
    </row>
    <row r="42" spans="1:5" ht="25.5">
      <c r="A42" s="266" t="str">
        <f>'Range-thresholds'!A43</f>
        <v>Skin lightening creams and soaps with mercury chemicals </v>
      </c>
      <c r="B42" s="272" t="str">
        <f>IF(OR('Step4-Industrial Hg use'!B17=yes,'Step4-Industrial Hg use'!B17=no,'Step4-Industrial Hg use'!B17=que),'Step4-Industrial Hg use'!B17,pres)</f>
        <v>Present?</v>
      </c>
      <c r="C42" s="448">
        <f>'Level 1- total summary'!C42</f>
        <v>0</v>
      </c>
      <c r="D42" s="277" t="str">
        <f>'Step4-Industrial Hg use'!D17</f>
        <v>Mercury used for production, kg/y</v>
      </c>
      <c r="E42" s="448" t="str">
        <f>'Level 1- total summary'!E42</f>
        <v>Present?</v>
      </c>
    </row>
    <row r="43" spans="1:5" ht="16.5" customHeight="1">
      <c r="A43" s="408" t="str">
        <f>'Range-thresholds'!A44</f>
        <v>Use and disposal of products with mercury content</v>
      </c>
      <c r="B43" s="308"/>
      <c r="C43" s="308"/>
      <c r="D43" s="380"/>
      <c r="E43" s="380"/>
    </row>
    <row r="44" spans="1:5" ht="12.75">
      <c r="A44" s="266" t="str">
        <f>'Range-thresholds'!A45</f>
        <v>Dental amalgam fillings ("silver" fillings)</v>
      </c>
      <c r="B44" s="272" t="str">
        <f>IF(OR('Step6-Hg products-substances'!B7=yes,'Step6-Hg products-substances'!B7=no,'Step6-Hg products-substances'!B7=que),'Step6-Hg products-substances'!B7,pres)</f>
        <v>Present?</v>
      </c>
      <c r="C44" s="448">
        <f>'Level 1- total summary'!C44</f>
        <v>0</v>
      </c>
      <c r="D44" s="443" t="str">
        <f>'Step6-Hg products-substances'!D8</f>
        <v>Number of inhabitants</v>
      </c>
      <c r="E44" s="448" t="str">
        <f>'Level 1- total summary'!E44</f>
        <v>Present?</v>
      </c>
    </row>
    <row r="45" spans="1:5" ht="12.75">
      <c r="A45" s="266" t="str">
        <f>'Range-thresholds'!A46</f>
        <v>Thermometers</v>
      </c>
      <c r="B45" s="272" t="str">
        <f>IF(OR('Step6-Hg products-substances'!B13=yes,'Step6-Hg products-substances'!B13=no,'Step6-Hg products-substances'!B13=que),'Step6-Hg products-substances'!B13,pres)</f>
        <v>Present?</v>
      </c>
      <c r="C45" s="448">
        <f>'Level 1- total summary'!C45</f>
        <v>0</v>
      </c>
      <c r="D45" s="443" t="str">
        <f>'Step6-Hg products-substances'!D14</f>
        <v>Items sold/y</v>
      </c>
      <c r="E45" s="448" t="str">
        <f>'Level 1- total summary'!E45</f>
        <v>Present?</v>
      </c>
    </row>
    <row r="46" spans="1:5" ht="12.75">
      <c r="A46" s="266" t="str">
        <f>'Range-thresholds'!A47</f>
        <v>Electrical switches and relays with mercury</v>
      </c>
      <c r="B46" s="272" t="str">
        <f>IF(OR('Step6-Hg products-substances'!B18=yes,'Step6-Hg products-substances'!B18=no,'Step6-Hg products-substances'!B18=que),'Step6-Hg products-substances'!B18,pres)</f>
        <v>Present?</v>
      </c>
      <c r="C46" s="448">
        <f>'Level 1- total summary'!C46</f>
        <v>0</v>
      </c>
      <c r="D46" s="277" t="str">
        <f>'Step6-Hg products-substances'!D18</f>
        <v>Number of inhabitants</v>
      </c>
      <c r="E46" s="448" t="str">
        <f>'Level 1- total summary'!E46</f>
        <v>Present?</v>
      </c>
    </row>
    <row r="47" spans="1:5" ht="12.75">
      <c r="A47" s="266" t="str">
        <f>'Range-thresholds'!A48</f>
        <v>Light sources with mercury</v>
      </c>
      <c r="B47" s="272" t="str">
        <f>IF(OR('Step6-Hg products-substances'!B21=yes,'Step6-Hg products-substances'!B21=no,'Step6-Hg products-substances'!B21=que),'Step6-Hg products-substances'!B21,pres)</f>
        <v>Present?</v>
      </c>
      <c r="C47" s="448">
        <f>'Level 1- total summary'!C47</f>
        <v>0</v>
      </c>
      <c r="D47" s="277" t="str">
        <f>'Step6-Hg products-substances'!D21</f>
        <v>Items sold/y</v>
      </c>
      <c r="E47" s="448" t="str">
        <f>'Level 1- total summary'!E47</f>
        <v>Present?</v>
      </c>
    </row>
    <row r="48" spans="1:5" ht="12.75">
      <c r="A48" s="376" t="str">
        <f>'Range-thresholds'!A49</f>
        <v>Batteries with mercury</v>
      </c>
      <c r="B48" s="272" t="str">
        <f>IF(OR('Step6-Hg products-substances'!B26=yes,'Step6-Hg products-substances'!B26=no,'Step6-Hg products-substances'!B26=que),'Step6-Hg products-substances'!B26,pres)</f>
        <v>Present?</v>
      </c>
      <c r="C48" s="448">
        <f>'Level 1- total summary'!C48</f>
        <v>0</v>
      </c>
      <c r="D48" s="277" t="str">
        <f>'Step6-Hg products-substances'!D26</f>
        <v>t batteries sold/y</v>
      </c>
      <c r="E48" s="448" t="str">
        <f>'Level 1- total summary'!E48</f>
        <v>Present?</v>
      </c>
    </row>
    <row r="49" spans="1:5" ht="25.5">
      <c r="A49" s="266" t="str">
        <f>'Range-thresholds'!A50</f>
        <v>Polyurethane (PU, PUR) produced with mercury catalyst</v>
      </c>
      <c r="B49" s="272" t="str">
        <f>IF(OR('Step6-Hg products-substances'!B31=yes,'Step6-Hg products-substances'!B31=no,'Step6-Hg products-substances'!B31=que),'Step6-Hg products-substances'!B31,pres)</f>
        <v>Present?</v>
      </c>
      <c r="C49" s="448">
        <f>'Level 1- total summary'!C49</f>
        <v>0</v>
      </c>
      <c r="D49" s="277" t="str">
        <f>'Step6-Hg products-substances'!D31</f>
        <v>Number of inhabitants</v>
      </c>
      <c r="E49" s="448" t="str">
        <f>'Level 1- total summary'!E49</f>
        <v>Present?</v>
      </c>
    </row>
    <row r="50" spans="1:5" ht="12.75">
      <c r="A50" s="266" t="str">
        <f>'Range-thresholds'!A51</f>
        <v>Paints with mercury preservatives</v>
      </c>
      <c r="B50" s="272" t="str">
        <f>IF(OR('Step6-Hg products-substances'!B34=yes,'Step6-Hg products-substances'!B34=no,'Step6-Hg products-substances'!B34=que),'Step6-Hg products-substances'!B34,pres)</f>
        <v>Present?</v>
      </c>
      <c r="C50" s="448">
        <f>'Level 1- total summary'!C50</f>
        <v>0</v>
      </c>
      <c r="D50" s="277" t="str">
        <f>'Step6-Hg products-substances'!D34</f>
        <v>Paint sold, t/y</v>
      </c>
      <c r="E50" s="448" t="str">
        <f>'Level 1- total summary'!E50</f>
        <v>Present?</v>
      </c>
    </row>
    <row r="51" spans="1:5" ht="25.5">
      <c r="A51" s="266" t="str">
        <f>'Range-thresholds'!A52</f>
        <v>Skin lightening creams and soaps with mercury chemicals</v>
      </c>
      <c r="B51" s="272" t="str">
        <f>IF(OR('Step6-Hg products-substances'!B36=yes,'Step6-Hg products-substances'!B36=no,'Step6-Hg products-substances'!B36=que),'Step6-Hg products-substances'!B36,pres)</f>
        <v>Present?</v>
      </c>
      <c r="C51" s="448">
        <f>'Level 1- total summary'!C51</f>
        <v>0</v>
      </c>
      <c r="D51" s="277" t="str">
        <f>'Step6-Hg products-substances'!D36</f>
        <v>Cream or soap sold, t/y</v>
      </c>
      <c r="E51" s="448" t="str">
        <f>'Level 1- total summary'!E51</f>
        <v>Present?</v>
      </c>
    </row>
    <row r="52" spans="1:5" ht="29.25" customHeight="1">
      <c r="A52" s="266" t="str">
        <f>'Range-thresholds'!A53</f>
        <v>Medical blood pressure gauges (mercury sphygmomanometers)</v>
      </c>
      <c r="B52" s="272" t="str">
        <f>IF(OR('Step6-Hg products-substances'!B38=yes,'Step6-Hg products-substances'!B38=no,'Step6-Hg products-substances'!B38=que),'Step6-Hg products-substances'!B38,pres)</f>
        <v>Present?</v>
      </c>
      <c r="C52" s="448">
        <f>'Level 1- total summary'!C52</f>
        <v>0</v>
      </c>
      <c r="D52" s="277" t="str">
        <f>'Step6-Hg products-substances'!D38</f>
        <v>Items sold/y</v>
      </c>
      <c r="E52" s="448" t="str">
        <f>'Level 1- total summary'!E52</f>
        <v>Present?</v>
      </c>
    </row>
    <row r="53" spans="1:5" ht="12.75">
      <c r="A53" s="266" t="str">
        <f>'Range-thresholds'!A54</f>
        <v>Other manometers and gauges with mercury</v>
      </c>
      <c r="B53" s="272" t="str">
        <f>IF(OR('Step6-Hg products-substances'!B40=yes,'Step6-Hg products-substances'!B40=no,'Step6-Hg products-substances'!B40=que),'Step6-Hg products-substances'!B40,pres)</f>
        <v>Present?</v>
      </c>
      <c r="C53" s="448">
        <f>'Level 1- total summary'!C53</f>
        <v>0</v>
      </c>
      <c r="D53" s="277" t="str">
        <f>'Step6-Hg products-substances'!D40</f>
        <v>Number of inhabitants</v>
      </c>
      <c r="E53" s="448" t="str">
        <f>'Level 1- total summary'!E53</f>
        <v>Present?</v>
      </c>
    </row>
    <row r="54" spans="1:5" ht="12.75">
      <c r="A54" s="266" t="str">
        <f>'Range-thresholds'!A55</f>
        <v>Laboratory chemicals</v>
      </c>
      <c r="B54" s="272" t="str">
        <f>IF(OR('Step6-Hg products-substances'!B43=yes,'Step6-Hg products-substances'!B43=no,'Step6-Hg products-substances'!B43=que),'Step6-Hg products-substances'!B43,pres)</f>
        <v>Present?</v>
      </c>
      <c r="C54" s="448">
        <f>'Level 1- total summary'!C54</f>
        <v>0</v>
      </c>
      <c r="D54" s="277" t="str">
        <f>'Step6-Hg products-substances'!D43</f>
        <v>Number of inhabitants</v>
      </c>
      <c r="E54" s="448" t="str">
        <f>'Level 1- total summary'!E54</f>
        <v>Present?</v>
      </c>
    </row>
    <row r="55" spans="1:5" ht="12.75">
      <c r="A55" s="266" t="str">
        <f>'Range-thresholds'!A56</f>
        <v>Other laboratory and medical equipment with mercury </v>
      </c>
      <c r="B55" s="272" t="str">
        <f>IF(OR('Step6-Hg products-substances'!B46=yes,'Step6-Hg products-substances'!B46=no,'Step6-Hg products-substances'!B46=que),'Step6-Hg products-substances'!B46,pres)</f>
        <v>Present?</v>
      </c>
      <c r="C55" s="448">
        <f>'Level 1- total summary'!C55</f>
        <v>0</v>
      </c>
      <c r="D55" s="277" t="str">
        <f>'Step6-Hg products-substances'!D46</f>
        <v>Number of inhabitants</v>
      </c>
      <c r="E55" s="448" t="str">
        <f>'Level 1- total summary'!E55</f>
        <v>Present?</v>
      </c>
    </row>
    <row r="56" spans="1:5" ht="12.75">
      <c r="A56" s="408" t="str">
        <f>'Range-thresholds'!A57</f>
        <v>Production of recycled of metals</v>
      </c>
      <c r="B56" s="308"/>
      <c r="C56" s="308"/>
      <c r="D56" s="380"/>
      <c r="E56" s="380"/>
    </row>
    <row r="57" spans="1:5" ht="25.5">
      <c r="A57" s="266" t="str">
        <f>'Range-thresholds'!A58</f>
        <v>Production of recycled mercury ("secondary production”)</v>
      </c>
      <c r="B57" s="272" t="str">
        <f>IF(OR('Step5-Waste treatment+recycling'!B9=yes,'Step5-Waste treatment+recycling'!B9=no,'Step5-Waste treatment+recycling'!B9=que),'Step5-Waste treatment+recycling'!B9,pres)</f>
        <v>Present?</v>
      </c>
      <c r="C57" s="448">
        <f>'Level 1- total summary'!C57</f>
        <v>0</v>
      </c>
      <c r="D57" s="277" t="str">
        <f>'Step5-Waste treatment+recycling'!D9</f>
        <v>Mercury produced, kg/y </v>
      </c>
      <c r="E57" s="448" t="str">
        <f>'Level 1- total summary'!E57</f>
        <v>Present?</v>
      </c>
    </row>
    <row r="58" spans="1:5" ht="12.75">
      <c r="A58" s="266" t="str">
        <f>'Range-thresholds'!A59</f>
        <v>Production of recycled ferrous metals (iron and steel)</v>
      </c>
      <c r="B58" s="272" t="str">
        <f>IF(OR('Step5-Waste treatment+recycling'!B10=yes,'Step5-Waste treatment+recycling'!B10=no,'Step5-Waste treatment+recycling'!B10=que),'Step5-Waste treatment+recycling'!B10,pres)</f>
        <v>Present?</v>
      </c>
      <c r="C58" s="448">
        <f>'Level 1- total summary'!C58</f>
        <v>0</v>
      </c>
      <c r="D58" s="277" t="str">
        <f>'Step5-Waste treatment+recycling'!D10</f>
        <v>Number of vehicles recycled/y</v>
      </c>
      <c r="E58" s="448" t="str">
        <f>'Level 1- total summary'!E58</f>
        <v>Present?</v>
      </c>
    </row>
    <row r="59" spans="1:5" ht="12.75">
      <c r="A59" s="408" t="str">
        <f>'Range-thresholds'!A60</f>
        <v>Waste incineration</v>
      </c>
      <c r="B59" s="308"/>
      <c r="C59" s="308"/>
      <c r="D59" s="380"/>
      <c r="E59" s="380"/>
    </row>
    <row r="60" spans="1:5" ht="12.75">
      <c r="A60" s="266" t="str">
        <f>'Range-thresholds'!A61</f>
        <v>Incineration of municipal/general waste</v>
      </c>
      <c r="B60" s="272" t="str">
        <f>IF(OR('Step5-Waste treatment+recycling'!B13=yes,'Step5-Waste treatment+recycling'!B13=no,'Step5-Waste treatment+recycling'!B13=que),'Step5-Waste treatment+recycling'!B13,pres)</f>
        <v>Present?</v>
      </c>
      <c r="C60" s="448">
        <f>'Level 1- total summary'!C60</f>
        <v>0</v>
      </c>
      <c r="D60" s="277" t="str">
        <f>'Step5-Waste treatment+recycling'!D13</f>
        <v>Waste incinerated, t/y </v>
      </c>
      <c r="E60" s="448" t="str">
        <f>'Level 1- total summary'!E60</f>
        <v>Present?</v>
      </c>
    </row>
    <row r="61" spans="1:5" ht="12.75">
      <c r="A61" s="266" t="str">
        <f>'Range-thresholds'!A62</f>
        <v>Incineration of hazardous waste</v>
      </c>
      <c r="B61" s="272" t="str">
        <f>IF(OR('Step5-Waste treatment+recycling'!B14=yes,'Step5-Waste treatment+recycling'!B14=no,'Step5-Waste treatment+recycling'!B14=que),'Step5-Waste treatment+recycling'!B14,pres)</f>
        <v>Present?</v>
      </c>
      <c r="C61" s="448">
        <f>'Level 1- total summary'!C61</f>
        <v>0</v>
      </c>
      <c r="D61" s="277" t="str">
        <f>'Step5-Waste treatment+recycling'!D14</f>
        <v>Waste incinerated, t/y</v>
      </c>
      <c r="E61" s="448" t="str">
        <f>'Level 1- total summary'!E61</f>
        <v>Present?</v>
      </c>
    </row>
    <row r="62" spans="1:5" ht="12.75">
      <c r="A62" s="266" t="str">
        <f>'Range-thresholds'!A63</f>
        <v>Incineration and open burning of medical waste</v>
      </c>
      <c r="B62" s="272" t="str">
        <f>IF(OR('Step5-Waste treatment+recycling'!B15=yes,'Step5-Waste treatment+recycling'!B15=no,'Step5-Waste treatment+recycling'!B15=que),'Step5-Waste treatment+recycling'!B15,pres)</f>
        <v>Present?</v>
      </c>
      <c r="C62" s="448">
        <f>'Level 1- total summary'!C62</f>
        <v>0</v>
      </c>
      <c r="D62" s="277" t="str">
        <f>'Step5-Waste treatment+recycling'!D15</f>
        <v>Waste incinerated, t/y </v>
      </c>
      <c r="E62" s="448" t="str">
        <f>'Level 1- total summary'!E62</f>
        <v>Present?</v>
      </c>
    </row>
    <row r="63" spans="1:5" ht="12.75">
      <c r="A63" s="266" t="str">
        <f>'Range-thresholds'!A64</f>
        <v>Sewage sludge incineration</v>
      </c>
      <c r="B63" s="272" t="str">
        <f>IF(OR('Step5-Waste treatment+recycling'!B16=yes,'Step5-Waste treatment+recycling'!B16=no,'Step5-Waste treatment+recycling'!B16=que),'Step5-Waste treatment+recycling'!B16,pres)</f>
        <v>Present?</v>
      </c>
      <c r="C63" s="448">
        <f>'Level 1- total summary'!C63</f>
        <v>0</v>
      </c>
      <c r="D63" s="277" t="str">
        <f>'Step5-Waste treatment+recycling'!D16</f>
        <v>Waste incinerated, t/y </v>
      </c>
      <c r="E63" s="448" t="str">
        <f>'Level 1- total summary'!E63</f>
        <v>Present?</v>
      </c>
    </row>
    <row r="64" spans="1:5" ht="12.75">
      <c r="A64" s="266" t="str">
        <f>'Range-thresholds'!A65</f>
        <v>Open fire waste burning (on landfills and informally)</v>
      </c>
      <c r="B64" s="272" t="str">
        <f>IF(OR('Step5-Waste treatment+recycling'!B17=yes,'Step5-Waste treatment+recycling'!B17=no,'Step5-Waste treatment+recycling'!B17=que),'Step5-Waste treatment+recycling'!B17,pres)</f>
        <v>Present?</v>
      </c>
      <c r="C64" s="448">
        <f>'Level 1- total summary'!C64</f>
        <v>0</v>
      </c>
      <c r="D64" s="277" t="str">
        <f>'Step5-Waste treatment+recycling'!D17</f>
        <v>Waste burned, t/y </v>
      </c>
      <c r="E64" s="448" t="str">
        <f>'Level 1- total summary'!E64</f>
        <v>Present?</v>
      </c>
    </row>
    <row r="65" spans="1:5" ht="25.5">
      <c r="A65" s="408" t="str">
        <f>'Range-thresholds'!A66</f>
        <v>Waste deposition/landfilling and waste water treatment</v>
      </c>
      <c r="B65" s="308"/>
      <c r="C65" s="308"/>
      <c r="D65" s="380"/>
      <c r="E65" s="380"/>
    </row>
    <row r="66" spans="1:5" ht="12.75">
      <c r="A66" s="376" t="str">
        <f>'Range-thresholds'!A67</f>
        <v>Controlled landfills/deposits</v>
      </c>
      <c r="B66" s="272" t="str">
        <f>IF(OR('Step5-Waste treatment+recycling'!B20=yes,'Step5-Waste treatment+recycling'!B20=no,'Step5-Waste treatment+recycling'!B20=que),'Step5-Waste treatment+recycling'!B20,pres)</f>
        <v>Present?</v>
      </c>
      <c r="C66" s="448">
        <f>'Level 1- total summary'!C66</f>
        <v>0</v>
      </c>
      <c r="D66" s="277" t="str">
        <f>'Step5-Waste treatment+recycling'!D20</f>
        <v>Waste landfilled, t/y</v>
      </c>
      <c r="E66" s="448" t="str">
        <f>'Level 1- total summary'!E66</f>
        <v>Present?</v>
      </c>
    </row>
    <row r="67" spans="1:5" ht="12.75">
      <c r="A67" s="376" t="str">
        <f>'Range-thresholds'!A68</f>
        <v>Informal dumping of general waste *1</v>
      </c>
      <c r="B67" s="272" t="str">
        <f>IF(OR('Step5-Waste treatment+recycling'!B21=yes,'Step5-Waste treatment+recycling'!B21=no,'Step5-Waste treatment+recycling'!B21=que),'Step5-Waste treatment+recycling'!B21,pres)</f>
        <v>Present?</v>
      </c>
      <c r="C67" s="448">
        <f>'Level 1- total summary'!C67</f>
        <v>0</v>
      </c>
      <c r="D67" s="277" t="str">
        <f>'Step5-Waste treatment+recycling'!D21</f>
        <v>Waste dumped, t/y</v>
      </c>
      <c r="E67" s="448" t="str">
        <f>'Level 1- total summary'!E67</f>
        <v>Present?</v>
      </c>
    </row>
    <row r="68" spans="1:5" ht="12.75">
      <c r="A68" s="376" t="str">
        <f>'Range-thresholds'!A69</f>
        <v>Waste water system/treatment</v>
      </c>
      <c r="B68" s="272" t="str">
        <f>IF(OR('Step5-Waste treatment+recycling'!B23=yes,'Step5-Waste treatment+recycling'!B23=no,'Step5-Waste treatment+recycling'!B23=que),'Step5-Waste treatment+recycling'!B23,pres)</f>
        <v>Present?</v>
      </c>
      <c r="C68" s="448">
        <f>'Level 1- total summary'!C68</f>
        <v>0</v>
      </c>
      <c r="D68" s="277" t="str">
        <f>'Step5-Waste treatment+recycling'!D23</f>
        <v>Waste water, m3/y </v>
      </c>
      <c r="E68" s="448" t="str">
        <f>'Level 1- total summary'!E68</f>
        <v>Present?</v>
      </c>
    </row>
    <row r="69" spans="1:5" ht="12.75">
      <c r="A69" s="408" t="str">
        <f>'Range-thresholds'!A70</f>
        <v>Crematoria and cemeteries</v>
      </c>
      <c r="B69" s="308"/>
      <c r="C69" s="308"/>
      <c r="D69" s="380"/>
      <c r="E69" s="380"/>
    </row>
    <row r="70" spans="1:5" ht="12.75">
      <c r="A70" s="266" t="str">
        <f>'Range-thresholds'!A71</f>
        <v>Crematoria</v>
      </c>
      <c r="B70" s="272" t="str">
        <f>IF(OR('Step7-Crematoria-cemetaries'!B5=yes,'Step7-Crematoria-cemetaries'!B5=no,'Step7-Crematoria-cemetaries'!B5=que),'Step7-Crematoria-cemetaries'!B5,pres)</f>
        <v>Present?</v>
      </c>
      <c r="C70" s="448">
        <f>'Level 1- total summary'!C70</f>
        <v>0</v>
      </c>
      <c r="D70" s="277" t="str">
        <f>'Step7-Crematoria-cemetaries'!D5</f>
        <v>Corpses cremated/y</v>
      </c>
      <c r="E70" s="448" t="str">
        <f>'Level 1- total summary'!E70</f>
        <v>Present?</v>
      </c>
    </row>
    <row r="71" spans="1:5" ht="12.75">
      <c r="A71" s="266" t="str">
        <f>'Range-thresholds'!A72</f>
        <v>Cemeteries</v>
      </c>
      <c r="B71" s="272" t="str">
        <f>IF(OR('Step7-Crematoria-cemetaries'!B6=yes,'Step7-Crematoria-cemetaries'!B6=no,'Step7-Crematoria-cemetaries'!B6=que),'Step7-Crematoria-cemetaries'!B6,pres)</f>
        <v>Present?</v>
      </c>
      <c r="C71" s="448">
        <f>'Level 1- total summary'!C71</f>
        <v>0</v>
      </c>
      <c r="D71" s="277" t="str">
        <f>'Step7-Crematoria-cemetaries'!D6</f>
        <v>Corpses buried/y</v>
      </c>
      <c r="E71" s="448" t="str">
        <f>'Level 1- total summary'!E71</f>
        <v>Present?</v>
      </c>
    </row>
    <row r="72" spans="1:5" s="363" customFormat="1" ht="12.75">
      <c r="A72" s="269" t="s">
        <v>914</v>
      </c>
      <c r="B72" s="450"/>
      <c r="C72" s="451"/>
      <c r="D72" s="383"/>
      <c r="E72" s="604" t="e">
        <f>'Level 1- total summary'!E72</f>
        <v>#VALUE!</v>
      </c>
    </row>
    <row r="73" ht="12.75">
      <c r="A73" s="329" t="s">
        <v>56</v>
      </c>
    </row>
    <row r="74" ht="12.75">
      <c r="A74" s="329" t="s">
        <v>585</v>
      </c>
    </row>
    <row r="75" ht="12.75">
      <c r="A75" s="346" t="s">
        <v>557</v>
      </c>
    </row>
    <row r="76" spans="1:2" ht="12.75">
      <c r="A76" s="346" t="s">
        <v>578</v>
      </c>
      <c r="B76" s="346"/>
    </row>
    <row r="77" spans="1:2" ht="12.75">
      <c r="A77" s="346" t="s">
        <v>558</v>
      </c>
      <c r="B77" s="346"/>
    </row>
    <row r="78" spans="1:2" ht="12.75">
      <c r="A78" s="329" t="s">
        <v>579</v>
      </c>
      <c r="B78" s="346"/>
    </row>
    <row r="79" spans="1:2" ht="12.75">
      <c r="A79" s="329" t="s">
        <v>561</v>
      </c>
      <c r="B79" s="346"/>
    </row>
    <row r="80" ht="12.75">
      <c r="A80" s="329" t="s">
        <v>565</v>
      </c>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93"/>
  <sheetViews>
    <sheetView zoomScalePageLayoutView="0" workbookViewId="0" topLeftCell="A37">
      <selection activeCell="E51" sqref="E51"/>
    </sheetView>
  </sheetViews>
  <sheetFormatPr defaultColWidth="9.140625" defaultRowHeight="12.75"/>
  <cols>
    <col min="1" max="1" width="46.8515625" style="346" customWidth="1"/>
    <col min="2" max="2" width="12.8515625" style="346" customWidth="1"/>
    <col min="3" max="6" width="11.7109375" style="346" customWidth="1"/>
    <col min="7" max="7" width="16.140625" style="346" customWidth="1"/>
    <col min="8" max="16384" width="9.140625" style="346" customWidth="1"/>
  </cols>
  <sheetData>
    <row r="1" ht="12.75">
      <c r="A1" s="363" t="s">
        <v>525</v>
      </c>
    </row>
    <row r="2" spans="1:7" s="368" customFormat="1" ht="12.75">
      <c r="A2" s="266" t="s">
        <v>323</v>
      </c>
      <c r="B2" s="687" t="s">
        <v>379</v>
      </c>
      <c r="C2" s="688"/>
      <c r="D2" s="688"/>
      <c r="E2" s="688"/>
      <c r="F2" s="688"/>
      <c r="G2" s="689"/>
    </row>
    <row r="3" spans="1:7" ht="38.25">
      <c r="A3" s="438"/>
      <c r="B3" s="273" t="s">
        <v>38</v>
      </c>
      <c r="C3" s="273" t="s">
        <v>39</v>
      </c>
      <c r="D3" s="273" t="s">
        <v>40</v>
      </c>
      <c r="E3" s="460" t="s">
        <v>521</v>
      </c>
      <c r="F3" s="267" t="s">
        <v>42</v>
      </c>
      <c r="G3" s="267" t="s">
        <v>380</v>
      </c>
    </row>
    <row r="4" spans="1:7" ht="12.75">
      <c r="A4" s="408" t="str">
        <f>'Step2-Energy'!A4</f>
        <v>Energy consumption</v>
      </c>
      <c r="B4" s="373"/>
      <c r="C4" s="373"/>
      <c r="D4" s="373"/>
      <c r="E4" s="313"/>
      <c r="F4" s="313"/>
      <c r="G4" s="313"/>
    </row>
    <row r="5" spans="1:7" ht="12.75">
      <c r="A5" s="266" t="str">
        <f>'Step2-Energy'!A5</f>
        <v>Coal combustion in large power plants</v>
      </c>
      <c r="B5" s="449" t="str">
        <f>'Level 1- total summary'!F5</f>
        <v>Present?</v>
      </c>
      <c r="C5" s="449" t="str">
        <f>'Level 1- total summary'!G5</f>
        <v>Present?</v>
      </c>
      <c r="D5" s="449" t="str">
        <f>'Level 1- total summary'!H5</f>
        <v>Present?</v>
      </c>
      <c r="E5" s="449" t="str">
        <f>'Level 1- total summary'!I5</f>
        <v>Present?</v>
      </c>
      <c r="F5" s="449" t="str">
        <f>'Level 1- total summary'!J5</f>
        <v>Present?</v>
      </c>
      <c r="G5" s="449" t="str">
        <f>'Level 1- total summary'!K5</f>
        <v>Present?</v>
      </c>
    </row>
    <row r="6" spans="1:7" ht="12.75">
      <c r="A6" s="266" t="str">
        <f>'Step2-Energy'!A6</f>
        <v>Other coal uses</v>
      </c>
      <c r="B6" s="449" t="str">
        <f>'Level 1- total summary'!F6</f>
        <v>Present?</v>
      </c>
      <c r="C6" s="449" t="str">
        <f>'Level 1- total summary'!G6</f>
        <v>Present?</v>
      </c>
      <c r="D6" s="449" t="str">
        <f>'Level 1- total summary'!H6</f>
        <v>Present?</v>
      </c>
      <c r="E6" s="449" t="str">
        <f>'Level 1- total summary'!I6</f>
        <v>Present?</v>
      </c>
      <c r="F6" s="449" t="str">
        <f>'Level 1- total summary'!J6</f>
        <v>Present?</v>
      </c>
      <c r="G6" s="449" t="str">
        <f>'Level 1- total summary'!K6</f>
        <v>Present?</v>
      </c>
    </row>
    <row r="7" spans="1:7" ht="12.75">
      <c r="A7" s="266" t="str">
        <f>'Step2-Energy'!A7</f>
        <v>Combustion/use of petroleum coke and heavy oil</v>
      </c>
      <c r="B7" s="449" t="str">
        <f>'Level 1- total summary'!F7</f>
        <v>Present?</v>
      </c>
      <c r="C7" s="449" t="str">
        <f>'Level 1- total summary'!G7</f>
        <v>Present?</v>
      </c>
      <c r="D7" s="449" t="str">
        <f>'Level 1- total summary'!H7</f>
        <v>Present?</v>
      </c>
      <c r="E7" s="449" t="str">
        <f>'Level 1- total summary'!I7</f>
        <v>Present?</v>
      </c>
      <c r="F7" s="449" t="str">
        <f>'Level 1- total summary'!J7</f>
        <v>Present?</v>
      </c>
      <c r="G7" s="449" t="str">
        <f>'Level 1- total summary'!K7</f>
        <v>Present?</v>
      </c>
    </row>
    <row r="8" spans="1:7" ht="15.75" customHeight="1">
      <c r="A8" s="266" t="str">
        <f>'Step2-Energy'!A8</f>
        <v>Combustion/use of diesel, gasoil, petroleum, kerosene</v>
      </c>
      <c r="B8" s="449" t="str">
        <f>'Level 1- total summary'!F8</f>
        <v>Present?</v>
      </c>
      <c r="C8" s="449" t="str">
        <f>'Level 1- total summary'!G8</f>
        <v>Present?</v>
      </c>
      <c r="D8" s="449" t="str">
        <f>'Level 1- total summary'!H8</f>
        <v>Present?</v>
      </c>
      <c r="E8" s="449" t="str">
        <f>'Level 1- total summary'!I8</f>
        <v>Present?</v>
      </c>
      <c r="F8" s="449" t="str">
        <f>'Level 1- total summary'!J8</f>
        <v>Present?</v>
      </c>
      <c r="G8" s="449" t="str">
        <f>'Level 1- total summary'!K8</f>
        <v>Present?</v>
      </c>
    </row>
    <row r="9" spans="1:7" ht="15.75" customHeight="1">
      <c r="A9" s="266" t="str">
        <f>'Step2-Energy'!A9</f>
        <v>Use of raw or pre-cleaned natural gas</v>
      </c>
      <c r="B9" s="449" t="str">
        <f>'Level 1- total summary'!F9</f>
        <v>Present?</v>
      </c>
      <c r="C9" s="449" t="str">
        <f>'Level 1- total summary'!G9</f>
        <v>Present?</v>
      </c>
      <c r="D9" s="449" t="str">
        <f>'Level 1- total summary'!H9</f>
        <v>Present?</v>
      </c>
      <c r="E9" s="449" t="str">
        <f>'Level 1- total summary'!I9</f>
        <v>Present?</v>
      </c>
      <c r="F9" s="449" t="str">
        <f>'Level 1- total summary'!J9</f>
        <v>Present?</v>
      </c>
      <c r="G9" s="449" t="str">
        <f>'Level 1- total summary'!K9</f>
        <v>Present?</v>
      </c>
    </row>
    <row r="10" spans="1:7" ht="15.75" customHeight="1">
      <c r="A10" s="266" t="str">
        <f>'Step2-Energy'!A10</f>
        <v>Use of pipeline gas (consumer quality)</v>
      </c>
      <c r="B10" s="449" t="str">
        <f>'Level 1- total summary'!F10</f>
        <v>Present?</v>
      </c>
      <c r="C10" s="449" t="str">
        <f>'Level 1- total summary'!G10</f>
        <v>Present?</v>
      </c>
      <c r="D10" s="449" t="str">
        <f>'Level 1- total summary'!H10</f>
        <v>Present?</v>
      </c>
      <c r="E10" s="449" t="str">
        <f>'Level 1- total summary'!I10</f>
        <v>Present?</v>
      </c>
      <c r="F10" s="449" t="str">
        <f>'Level 1- total summary'!J10</f>
        <v>Present?</v>
      </c>
      <c r="G10" s="449" t="str">
        <f>'Level 1- total summary'!K10</f>
        <v>Present?</v>
      </c>
    </row>
    <row r="11" spans="1:7" ht="12.75">
      <c r="A11" s="266" t="str">
        <f>'Step2-Energy'!A11</f>
        <v>Biomass fired power and heat production</v>
      </c>
      <c r="B11" s="449" t="str">
        <f>'Level 1- total summary'!F11</f>
        <v>Present?</v>
      </c>
      <c r="C11" s="449" t="str">
        <f>'Level 1- total summary'!G11</f>
        <v>Present?</v>
      </c>
      <c r="D11" s="449" t="str">
        <f>'Level 1- total summary'!H11</f>
        <v>Present?</v>
      </c>
      <c r="E11" s="449" t="str">
        <f>'Level 1- total summary'!I11</f>
        <v>Present?</v>
      </c>
      <c r="F11" s="449" t="str">
        <f>'Level 1- total summary'!J11</f>
        <v>Present?</v>
      </c>
      <c r="G11" s="449" t="str">
        <f>'Level 1- total summary'!K11</f>
        <v>Present?</v>
      </c>
    </row>
    <row r="12" spans="1:7" ht="12.75">
      <c r="A12" s="266" t="str">
        <f>'Step2-Energy'!A12</f>
        <v>Charcoal combustion</v>
      </c>
      <c r="B12" s="449" t="str">
        <f>'Level 1- total summary'!F12</f>
        <v>Present?</v>
      </c>
      <c r="C12" s="449" t="str">
        <f>'Level 1- total summary'!G12</f>
        <v>Present?</v>
      </c>
      <c r="D12" s="449" t="str">
        <f>'Level 1- total summary'!H12</f>
        <v>Present?</v>
      </c>
      <c r="E12" s="449" t="str">
        <f>'Level 1- total summary'!I12</f>
        <v>Present?</v>
      </c>
      <c r="F12" s="449" t="str">
        <f>'Level 1- total summary'!J12</f>
        <v>Present?</v>
      </c>
      <c r="G12" s="449" t="str">
        <f>'Level 1- total summary'!K12</f>
        <v>Present?</v>
      </c>
    </row>
    <row r="13" spans="1:7" ht="12.75">
      <c r="A13" s="408" t="str">
        <f>'Step2-Energy'!A14</f>
        <v>Fuel production</v>
      </c>
      <c r="B13" s="373"/>
      <c r="C13" s="373"/>
      <c r="D13" s="373"/>
      <c r="E13" s="313"/>
      <c r="F13" s="313"/>
      <c r="G13" s="313"/>
    </row>
    <row r="14" spans="1:7" ht="12.75">
      <c r="A14" s="266" t="str">
        <f>'Step2-Energy'!A15</f>
        <v>Oil extraction</v>
      </c>
      <c r="B14" s="449" t="str">
        <f>'Level 1- total summary'!F14</f>
        <v>Present?</v>
      </c>
      <c r="C14" s="449" t="str">
        <f>'Level 1- total summary'!G14</f>
        <v>Present?</v>
      </c>
      <c r="D14" s="449" t="str">
        <f>'Level 1- total summary'!H14</f>
        <v>Present?</v>
      </c>
      <c r="E14" s="449" t="str">
        <f>'Level 1- total summary'!I14</f>
        <v>Present?</v>
      </c>
      <c r="F14" s="449" t="str">
        <f>'Level 1- total summary'!J14</f>
        <v>Present?</v>
      </c>
      <c r="G14" s="449" t="str">
        <f>'Level 1- total summary'!K14</f>
        <v>Present?</v>
      </c>
    </row>
    <row r="15" spans="1:7" ht="12.75">
      <c r="A15" s="266" t="str">
        <f>'Step2-Energy'!A16</f>
        <v>Oil refining</v>
      </c>
      <c r="B15" s="449" t="str">
        <f>'Level 1- total summary'!F15</f>
        <v>Present?</v>
      </c>
      <c r="C15" s="449" t="str">
        <f>'Level 1- total summary'!G15</f>
        <v>Present?</v>
      </c>
      <c r="D15" s="449" t="str">
        <f>'Level 1- total summary'!H15</f>
        <v>Present?</v>
      </c>
      <c r="E15" s="449" t="str">
        <f>'Level 1- total summary'!I15</f>
        <v>Present?</v>
      </c>
      <c r="F15" s="449" t="str">
        <f>'Level 1- total summary'!J15</f>
        <v>Present?</v>
      </c>
      <c r="G15" s="449" t="str">
        <f>'Level 1- total summary'!K15</f>
        <v>Present?</v>
      </c>
    </row>
    <row r="16" spans="1:7" ht="12.75">
      <c r="A16" s="266" t="str">
        <f>'Step2-Energy'!A17</f>
        <v>Extraction and processing of natural gas</v>
      </c>
      <c r="B16" s="449" t="str">
        <f>'Level 1- total summary'!F16</f>
        <v>Present?</v>
      </c>
      <c r="C16" s="449" t="str">
        <f>'Level 1- total summary'!G16</f>
        <v>Present?</v>
      </c>
      <c r="D16" s="449" t="str">
        <f>'Level 1- total summary'!H16</f>
        <v>Present?</v>
      </c>
      <c r="E16" s="449" t="str">
        <f>'Level 1- total summary'!I16</f>
        <v>Present?</v>
      </c>
      <c r="F16" s="449" t="str">
        <f>'Level 1- total summary'!J16</f>
        <v>Present?</v>
      </c>
      <c r="G16" s="449" t="str">
        <f>'Level 1- total summary'!K16</f>
        <v>Present?</v>
      </c>
    </row>
    <row r="17" spans="1:7" ht="12.75">
      <c r="A17" s="408" t="str">
        <f>'Step3-Metals-RawMat'!A5</f>
        <v>Primary metal production</v>
      </c>
      <c r="B17" s="373"/>
      <c r="C17" s="373"/>
      <c r="D17" s="373"/>
      <c r="E17" s="313"/>
      <c r="F17" s="313"/>
      <c r="G17" s="313"/>
    </row>
    <row r="18" spans="1:7" ht="12.75">
      <c r="A18" s="266" t="str">
        <f>'Step3-Metals-RawMat'!A6</f>
        <v>Mercury (primary) extraction and initial processing</v>
      </c>
      <c r="B18" s="449" t="str">
        <f>'Level 1- total summary'!F18</f>
        <v>Present?</v>
      </c>
      <c r="C18" s="449" t="str">
        <f>'Level 1- total summary'!G18</f>
        <v>Present?</v>
      </c>
      <c r="D18" s="449" t="str">
        <f>'Level 1- total summary'!H18</f>
        <v>Present?</v>
      </c>
      <c r="E18" s="449" t="str">
        <f>'Level 1- total summary'!I18</f>
        <v>Present?</v>
      </c>
      <c r="F18" s="449" t="str">
        <f>'Level 1- total summary'!J18</f>
        <v>Present?</v>
      </c>
      <c r="G18" s="449" t="str">
        <f>'Level 1- total summary'!K18</f>
        <v>Present?</v>
      </c>
    </row>
    <row r="19" spans="1:7" ht="12.75">
      <c r="A19" s="266" t="str">
        <f>'Step3-Metals-RawMat'!A7</f>
        <v>Production of zinc from concentrates</v>
      </c>
      <c r="B19" s="449" t="str">
        <f>'Level 1- total summary'!F19</f>
        <v>Present?</v>
      </c>
      <c r="C19" s="449" t="str">
        <f>'Level 1- total summary'!G19</f>
        <v>Present?</v>
      </c>
      <c r="D19" s="449" t="str">
        <f>'Level 1- total summary'!H19</f>
        <v>Present?</v>
      </c>
      <c r="E19" s="449" t="str">
        <f>'Level 1- total summary'!I19</f>
        <v>Present?</v>
      </c>
      <c r="F19" s="449" t="str">
        <f>'Level 1- total summary'!J19</f>
        <v>Present?</v>
      </c>
      <c r="G19" s="449" t="str">
        <f>'Level 1- total summary'!K19</f>
        <v>Present?</v>
      </c>
    </row>
    <row r="20" spans="1:7" ht="12.75">
      <c r="A20" s="266" t="str">
        <f>'Step3-Metals-RawMat'!A8</f>
        <v>Production of copper from concentrates</v>
      </c>
      <c r="B20" s="449" t="str">
        <f>'Level 1- total summary'!F20</f>
        <v>Present?</v>
      </c>
      <c r="C20" s="449" t="str">
        <f>'Level 1- total summary'!G20</f>
        <v>Present?</v>
      </c>
      <c r="D20" s="449" t="str">
        <f>'Level 1- total summary'!H20</f>
        <v>Present?</v>
      </c>
      <c r="E20" s="449" t="str">
        <f>'Level 1- total summary'!I20</f>
        <v>Present?</v>
      </c>
      <c r="F20" s="449" t="str">
        <f>'Level 1- total summary'!J20</f>
        <v>Present?</v>
      </c>
      <c r="G20" s="449" t="str">
        <f>'Level 1- total summary'!K20</f>
        <v>Present?</v>
      </c>
    </row>
    <row r="21" spans="1:7" ht="12.75">
      <c r="A21" s="266" t="str">
        <f>'Step3-Metals-RawMat'!A9</f>
        <v>Production of lead from concentrates</v>
      </c>
      <c r="B21" s="449" t="str">
        <f>'Level 1- total summary'!F21</f>
        <v>Present?</v>
      </c>
      <c r="C21" s="449" t="str">
        <f>'Level 1- total summary'!G21</f>
        <v>Present?</v>
      </c>
      <c r="D21" s="449" t="str">
        <f>'Level 1- total summary'!H21</f>
        <v>Present?</v>
      </c>
      <c r="E21" s="449" t="str">
        <f>'Level 1- total summary'!I21</f>
        <v>Present?</v>
      </c>
      <c r="F21" s="449" t="str">
        <f>'Level 1- total summary'!J21</f>
        <v>Present?</v>
      </c>
      <c r="G21" s="449" t="str">
        <f>'Level 1- total summary'!K21</f>
        <v>Present?</v>
      </c>
    </row>
    <row r="22" spans="1:7" ht="25.5">
      <c r="A22" s="266" t="str">
        <f>'Step3-Metals-RawMat'!A10</f>
        <v>Gold extraction by methods other than mercury amalgamation</v>
      </c>
      <c r="B22" s="449" t="str">
        <f>'Level 1- total summary'!F22</f>
        <v>Present?</v>
      </c>
      <c r="C22" s="449" t="str">
        <f>'Level 1- total summary'!G22</f>
        <v>Present?</v>
      </c>
      <c r="D22" s="449" t="str">
        <f>'Level 1- total summary'!H22</f>
        <v>Present?</v>
      </c>
      <c r="E22" s="449" t="str">
        <f>'Level 1- total summary'!I22</f>
        <v>Present?</v>
      </c>
      <c r="F22" s="449" t="str">
        <f>'Level 1- total summary'!J22</f>
        <v>Present?</v>
      </c>
      <c r="G22" s="449" t="str">
        <f>'Level 1- total summary'!K22</f>
        <v>Present?</v>
      </c>
    </row>
    <row r="23" spans="1:7" ht="16.5" customHeight="1">
      <c r="A23" s="266" t="str">
        <f>'Step3-Metals-RawMat'!A11</f>
        <v>Alumina production from bauxite (aluminium production)</v>
      </c>
      <c r="B23" s="449" t="str">
        <f>'Level 1- total summary'!F23</f>
        <v>Present?</v>
      </c>
      <c r="C23" s="449" t="str">
        <f>'Level 1- total summary'!G23</f>
        <v>Present?</v>
      </c>
      <c r="D23" s="449" t="str">
        <f>'Level 1- total summary'!H23</f>
        <v>Present?</v>
      </c>
      <c r="E23" s="449" t="str">
        <f>'Level 1- total summary'!I23</f>
        <v>Present?</v>
      </c>
      <c r="F23" s="449" t="str">
        <f>'Level 1- total summary'!J23</f>
        <v>Present?</v>
      </c>
      <c r="G23" s="449" t="str">
        <f>'Level 1- total summary'!K23</f>
        <v>Present?</v>
      </c>
    </row>
    <row r="24" spans="1:7" ht="21" customHeight="1">
      <c r="A24" s="266" t="str">
        <f>'Step3-Metals-RawMat'!A12</f>
        <v>Primary ferrous metal production (pig iron production)</v>
      </c>
      <c r="B24" s="449" t="str">
        <f>'Level 1- total summary'!F24</f>
        <v>Present?</v>
      </c>
      <c r="C24" s="449" t="str">
        <f>'Level 1- total summary'!G24</f>
        <v>Present?</v>
      </c>
      <c r="D24" s="449" t="str">
        <f>'Level 1- total summary'!H24</f>
        <v>Present?</v>
      </c>
      <c r="E24" s="449" t="str">
        <f>'Level 1- total summary'!I24</f>
        <v>Present?</v>
      </c>
      <c r="F24" s="449" t="str">
        <f>'Level 1- total summary'!J24</f>
        <v>Present?</v>
      </c>
      <c r="G24" s="449" t="str">
        <f>'Level 1- total summary'!K24</f>
        <v>Present?</v>
      </c>
    </row>
    <row r="25" spans="1:7" ht="25.5">
      <c r="A25" s="266" t="str">
        <f>'Step3-Metals-RawMat'!A13</f>
        <v>Gold extraction with mercury amalgamation - without use of retort</v>
      </c>
      <c r="B25" s="449" t="str">
        <f>'Level 1- total summary'!F25</f>
        <v>Present?</v>
      </c>
      <c r="C25" s="449" t="str">
        <f>'Level 1- total summary'!G25</f>
        <v>Present?</v>
      </c>
      <c r="D25" s="449" t="str">
        <f>'Level 1- total summary'!H25</f>
        <v>Present?</v>
      </c>
      <c r="E25" s="449" t="str">
        <f>'Level 1- total summary'!I25</f>
        <v>Present?</v>
      </c>
      <c r="F25" s="449" t="str">
        <f>'Level 1- total summary'!J25</f>
        <v>Present?</v>
      </c>
      <c r="G25" s="449" t="str">
        <f>'Level 1- total summary'!K25</f>
        <v>Present?</v>
      </c>
    </row>
    <row r="26" spans="1:7" ht="25.5">
      <c r="A26" s="266" t="str">
        <f>'Step3-Metals-RawMat'!A14</f>
        <v>Gold extraction with mercury amalgamation - with use of retorts</v>
      </c>
      <c r="B26" s="449" t="str">
        <f>'Level 1- total summary'!F26</f>
        <v>Present?</v>
      </c>
      <c r="C26" s="449" t="str">
        <f>'Level 1- total summary'!G26</f>
        <v>Present?</v>
      </c>
      <c r="D26" s="449" t="str">
        <f>'Level 1- total summary'!H26</f>
        <v>Present?</v>
      </c>
      <c r="E26" s="449" t="str">
        <f>'Level 1- total summary'!I26</f>
        <v>Present?</v>
      </c>
      <c r="F26" s="449" t="str">
        <f>'Level 1- total summary'!J26</f>
        <v>Present?</v>
      </c>
      <c r="G26" s="449" t="str">
        <f>'Level 1- total summary'!K26</f>
        <v>Present?</v>
      </c>
    </row>
    <row r="27" spans="1:7" ht="17.25" customHeight="1">
      <c r="A27" s="408" t="str">
        <f>'Step3-Metals-RawMat'!A15</f>
        <v>Other materials production</v>
      </c>
      <c r="B27" s="373"/>
      <c r="C27" s="373"/>
      <c r="D27" s="373"/>
      <c r="E27" s="313"/>
      <c r="F27" s="313"/>
      <c r="G27" s="313"/>
    </row>
    <row r="28" spans="1:7" ht="12.75">
      <c r="A28" s="266" t="str">
        <f>'Step3-Metals-RawMat'!A16</f>
        <v>Cement production</v>
      </c>
      <c r="B28" s="449" t="str">
        <f>'Level 1- total summary'!F28</f>
        <v>Present?</v>
      </c>
      <c r="C28" s="449" t="str">
        <f>'Level 1- total summary'!G28</f>
        <v>Present?</v>
      </c>
      <c r="D28" s="449" t="str">
        <f>'Level 1- total summary'!H28</f>
        <v>Present?</v>
      </c>
      <c r="E28" s="449" t="str">
        <f>'Level 1- total summary'!I28</f>
        <v>Present?</v>
      </c>
      <c r="F28" s="449" t="str">
        <f>'Level 1- total summary'!J28</f>
        <v>Present?</v>
      </c>
      <c r="G28" s="449" t="str">
        <f>'Level 1- total summary'!K28</f>
        <v>Present?</v>
      </c>
    </row>
    <row r="29" spans="1:7" ht="12.75">
      <c r="A29" s="266" t="str">
        <f>'Step3-Metals-RawMat'!A17</f>
        <v>Pulp and paper production</v>
      </c>
      <c r="B29" s="449" t="str">
        <f>'Level 1- total summary'!F29</f>
        <v>Present?</v>
      </c>
      <c r="C29" s="449" t="str">
        <f>'Level 1- total summary'!G29</f>
        <v>Present?</v>
      </c>
      <c r="D29" s="449" t="str">
        <f>'Level 1- total summary'!H29</f>
        <v>Present?</v>
      </c>
      <c r="E29" s="449" t="str">
        <f>'Level 1- total summary'!I29</f>
        <v>Present?</v>
      </c>
      <c r="F29" s="449" t="str">
        <f>'Level 1- total summary'!J29</f>
        <v>Present?</v>
      </c>
      <c r="G29" s="449" t="str">
        <f>'Level 1- total summary'!K29</f>
        <v>Present?</v>
      </c>
    </row>
    <row r="30" spans="1:7" ht="12.75">
      <c r="A30" s="408" t="str">
        <f>'Step4-Industrial Hg use'!A4</f>
        <v>Production of chemicals</v>
      </c>
      <c r="B30" s="373"/>
      <c r="C30" s="373"/>
      <c r="D30" s="373"/>
      <c r="E30" s="313"/>
      <c r="F30" s="313"/>
      <c r="G30" s="313"/>
    </row>
    <row r="31" spans="1:7" ht="12.75">
      <c r="A31" s="266" t="str">
        <f>'Step4-Industrial Hg use'!A5</f>
        <v>Chlor-alkali production with mercury-cells</v>
      </c>
      <c r="B31" s="449" t="str">
        <f>'Level 1- total summary'!F31</f>
        <v>Present?</v>
      </c>
      <c r="C31" s="449" t="str">
        <f>'Level 1- total summary'!G31</f>
        <v>Present?</v>
      </c>
      <c r="D31" s="449" t="str">
        <f>'Level 1- total summary'!H31</f>
        <v>Present?</v>
      </c>
      <c r="E31" s="449" t="str">
        <f>'Level 1- total summary'!I31</f>
        <v>Present?</v>
      </c>
      <c r="F31" s="449" t="str">
        <f>'Level 1- total summary'!J31</f>
        <v>Present?</v>
      </c>
      <c r="G31" s="449" t="str">
        <f>'Level 1- total summary'!K31</f>
        <v>Present?</v>
      </c>
    </row>
    <row r="32" spans="1:7" ht="12.75">
      <c r="A32" s="266" t="str">
        <f>'Step4-Industrial Hg use'!A6</f>
        <v>VCM production with mercury catalyst</v>
      </c>
      <c r="B32" s="449" t="str">
        <f>'Level 1- total summary'!F32</f>
        <v>Present?</v>
      </c>
      <c r="C32" s="449" t="str">
        <f>'Level 1- total summary'!G32</f>
        <v>Present?</v>
      </c>
      <c r="D32" s="449" t="str">
        <f>'Level 1- total summary'!H32</f>
        <v>Present?</v>
      </c>
      <c r="E32" s="449" t="str">
        <f>'Level 1- total summary'!I32</f>
        <v>Present?</v>
      </c>
      <c r="F32" s="449" t="str">
        <f>'Level 1- total summary'!J32</f>
        <v>Present?</v>
      </c>
      <c r="G32" s="449" t="str">
        <f>'Level 1- total summary'!K32</f>
        <v>Present?</v>
      </c>
    </row>
    <row r="33" spans="1:7" ht="12.75">
      <c r="A33" s="266" t="str">
        <f>'Step4-Industrial Hg use'!A7</f>
        <v>Acetaldehyde production with mercury catalyst</v>
      </c>
      <c r="B33" s="449" t="str">
        <f>'Level 1- total summary'!F33</f>
        <v>Present?</v>
      </c>
      <c r="C33" s="449" t="str">
        <f>'Level 1- total summary'!G33</f>
        <v>Present?</v>
      </c>
      <c r="D33" s="449" t="str">
        <f>'Level 1- total summary'!H33</f>
        <v>Present?</v>
      </c>
      <c r="E33" s="449" t="str">
        <f>'Level 1- total summary'!I33</f>
        <v>Present?</v>
      </c>
      <c r="F33" s="449" t="str">
        <f>'Level 1- total summary'!J33</f>
        <v>Present?</v>
      </c>
      <c r="G33" s="449" t="str">
        <f>'Level 1- total summary'!K33</f>
        <v>Present?</v>
      </c>
    </row>
    <row r="34" spans="1:7" ht="12.75">
      <c r="A34" s="408" t="str">
        <f>'Step4-Industrial Hg use'!A9</f>
        <v>Production of products with mercury content</v>
      </c>
      <c r="B34" s="373"/>
      <c r="C34" s="373"/>
      <c r="D34" s="373"/>
      <c r="E34" s="313"/>
      <c r="F34" s="313"/>
      <c r="G34" s="313"/>
    </row>
    <row r="35" spans="1:7" ht="12.75">
      <c r="A35" s="266" t="str">
        <f>'Step4-Industrial Hg use'!A10</f>
        <v>Hg thermometers (medical, air, lab, industrial etc.) </v>
      </c>
      <c r="B35" s="449" t="str">
        <f>'Level 1- total summary'!F35</f>
        <v>Present?</v>
      </c>
      <c r="C35" s="449" t="str">
        <f>'Level 1- total summary'!G35</f>
        <v>Present?</v>
      </c>
      <c r="D35" s="449" t="str">
        <f>'Level 1- total summary'!H35</f>
        <v>Present?</v>
      </c>
      <c r="E35" s="449" t="str">
        <f>'Level 1- total summary'!I35</f>
        <v>Present?</v>
      </c>
      <c r="F35" s="449" t="str">
        <f>'Level 1- total summary'!J35</f>
        <v>Present?</v>
      </c>
      <c r="G35" s="449" t="str">
        <f>'Level 1- total summary'!K35</f>
        <v>Present?</v>
      </c>
    </row>
    <row r="36" spans="1:7" ht="12.75">
      <c r="A36" s="266" t="str">
        <f>'Step4-Industrial Hg use'!A11</f>
        <v>Electrical switches and relays with mercury </v>
      </c>
      <c r="B36" s="449" t="str">
        <f>'Level 1- total summary'!F36</f>
        <v>Present?</v>
      </c>
      <c r="C36" s="449" t="str">
        <f>'Level 1- total summary'!G36</f>
        <v>Present?</v>
      </c>
      <c r="D36" s="449" t="str">
        <f>'Level 1- total summary'!H36</f>
        <v>Present?</v>
      </c>
      <c r="E36" s="449" t="str">
        <f>'Level 1- total summary'!I36</f>
        <v>Present?</v>
      </c>
      <c r="F36" s="449" t="str">
        <f>'Level 1- total summary'!J36</f>
        <v>Present?</v>
      </c>
      <c r="G36" s="449" t="str">
        <f>'Level 1- total summary'!K36</f>
        <v>Present?</v>
      </c>
    </row>
    <row r="37" spans="1:7" ht="25.5">
      <c r="A37" s="266" t="str">
        <f>'Step4-Industrial Hg use'!A12</f>
        <v>Light sources with mercury (fluorescent, compact, others: see guideline) </v>
      </c>
      <c r="B37" s="449" t="str">
        <f>'Level 1- total summary'!F37</f>
        <v>Present?</v>
      </c>
      <c r="C37" s="449" t="str">
        <f>'Level 1- total summary'!G37</f>
        <v>Present?</v>
      </c>
      <c r="D37" s="449" t="str">
        <f>'Level 1- total summary'!H37</f>
        <v>Present?</v>
      </c>
      <c r="E37" s="449" t="str">
        <f>'Level 1- total summary'!I37</f>
        <v>Present?</v>
      </c>
      <c r="F37" s="449" t="str">
        <f>'Level 1- total summary'!J37</f>
        <v>Present?</v>
      </c>
      <c r="G37" s="449" t="str">
        <f>'Level 1- total summary'!K37</f>
        <v>Present?</v>
      </c>
    </row>
    <row r="38" spans="1:7" ht="12.75">
      <c r="A38" s="266" t="str">
        <f>'Step4-Industrial Hg use'!A13</f>
        <v>Batteries with mercury </v>
      </c>
      <c r="B38" s="449" t="str">
        <f>'Level 1- total summary'!F38</f>
        <v>Present?</v>
      </c>
      <c r="C38" s="449" t="str">
        <f>'Level 1- total summary'!G38</f>
        <v>Present?</v>
      </c>
      <c r="D38" s="449" t="str">
        <f>'Level 1- total summary'!H38</f>
        <v>Present?</v>
      </c>
      <c r="E38" s="449" t="str">
        <f>'Level 1- total summary'!I38</f>
        <v>Present?</v>
      </c>
      <c r="F38" s="449" t="str">
        <f>'Level 1- total summary'!J38</f>
        <v>Present?</v>
      </c>
      <c r="G38" s="449" t="str">
        <f>'Level 1- total summary'!K38</f>
        <v>Present?</v>
      </c>
    </row>
    <row r="39" spans="1:7" ht="12.75">
      <c r="A39" s="266" t="str">
        <f>'Step4-Industrial Hg use'!A14</f>
        <v>Manometers and gauges with mercury </v>
      </c>
      <c r="B39" s="449" t="str">
        <f>'Level 1- total summary'!F39</f>
        <v>Present?</v>
      </c>
      <c r="C39" s="449" t="str">
        <f>'Level 1- total summary'!G39</f>
        <v>Present?</v>
      </c>
      <c r="D39" s="449" t="str">
        <f>'Level 1- total summary'!H39</f>
        <v>Present?</v>
      </c>
      <c r="E39" s="449" t="str">
        <f>'Level 1- total summary'!I39</f>
        <v>Present?</v>
      </c>
      <c r="F39" s="449" t="str">
        <f>'Level 1- total summary'!J39</f>
        <v>Present?</v>
      </c>
      <c r="G39" s="449" t="str">
        <f>'Level 1- total summary'!K39</f>
        <v>Present?</v>
      </c>
    </row>
    <row r="40" spans="1:7" ht="12.75">
      <c r="A40" s="266" t="str">
        <f>'Step4-Industrial Hg use'!A15</f>
        <v>Biocides and pesticides with mercury </v>
      </c>
      <c r="B40" s="449" t="str">
        <f>'Level 1- total summary'!F40</f>
        <v>Present?</v>
      </c>
      <c r="C40" s="449" t="str">
        <f>'Level 1- total summary'!G40</f>
        <v>Present?</v>
      </c>
      <c r="D40" s="449" t="str">
        <f>'Level 1- total summary'!H40</f>
        <v>Present?</v>
      </c>
      <c r="E40" s="449" t="str">
        <f>'Level 1- total summary'!I40</f>
        <v>Present?</v>
      </c>
      <c r="F40" s="449" t="str">
        <f>'Level 1- total summary'!J40</f>
        <v>Present?</v>
      </c>
      <c r="G40" s="449" t="str">
        <f>'Level 1- total summary'!K40</f>
        <v>Present?</v>
      </c>
    </row>
    <row r="41" spans="1:7" ht="12.75">
      <c r="A41" s="266" t="str">
        <f>'Step4-Industrial Hg use'!A16</f>
        <v>Paints with mercury </v>
      </c>
      <c r="B41" s="449" t="str">
        <f>'Level 1- total summary'!F41</f>
        <v>Present?</v>
      </c>
      <c r="C41" s="449" t="str">
        <f>'Level 1- total summary'!G41</f>
        <v>Present?</v>
      </c>
      <c r="D41" s="449" t="str">
        <f>'Level 1- total summary'!H41</f>
        <v>Present?</v>
      </c>
      <c r="E41" s="449" t="str">
        <f>'Level 1- total summary'!I41</f>
        <v>Present?</v>
      </c>
      <c r="F41" s="449" t="str">
        <f>'Level 1- total summary'!J41</f>
        <v>Present?</v>
      </c>
      <c r="G41" s="449" t="str">
        <f>'Level 1- total summary'!K41</f>
        <v>Present?</v>
      </c>
    </row>
    <row r="42" spans="1:7" ht="25.5">
      <c r="A42" s="266" t="str">
        <f>'Step4-Industrial Hg use'!A17</f>
        <v>Skin lightening creams and soaps with mercury chemicals </v>
      </c>
      <c r="B42" s="449" t="str">
        <f>'Level 1- total summary'!F42</f>
        <v>Present?</v>
      </c>
      <c r="C42" s="449" t="str">
        <f>'Level 1- total summary'!G42</f>
        <v>Present?</v>
      </c>
      <c r="D42" s="449" t="str">
        <f>'Level 1- total summary'!H42</f>
        <v>Present?</v>
      </c>
      <c r="E42" s="449" t="str">
        <f>'Level 1- total summary'!I42</f>
        <v>Present?</v>
      </c>
      <c r="F42" s="449" t="str">
        <f>'Level 1- total summary'!J42</f>
        <v>Present?</v>
      </c>
      <c r="G42" s="449" t="str">
        <f>'Level 1- total summary'!K42</f>
        <v>Present?</v>
      </c>
    </row>
    <row r="43" spans="1:7" ht="16.5" customHeight="1">
      <c r="A43" s="408" t="str">
        <f>'Step6-Hg products-substances'!A6</f>
        <v>Use and disposal of products with mercury content</v>
      </c>
      <c r="B43" s="373"/>
      <c r="C43" s="373"/>
      <c r="D43" s="373"/>
      <c r="E43" s="313"/>
      <c r="F43" s="313"/>
      <c r="G43" s="313"/>
    </row>
    <row r="44" spans="1:7" ht="12.75">
      <c r="A44" s="266" t="str">
        <f>'Step6-Hg products-substances'!A7</f>
        <v>Dental amalgam fillings ("silver" fillings)</v>
      </c>
      <c r="B44" s="449" t="str">
        <f>'Level 1- total summary'!F44</f>
        <v>Present?</v>
      </c>
      <c r="C44" s="449" t="str">
        <f>'Level 1- total summary'!G44</f>
        <v>Present?</v>
      </c>
      <c r="D44" s="449" t="str">
        <f>'Level 1- total summary'!H44</f>
        <v>Present?</v>
      </c>
      <c r="E44" s="449" t="str">
        <f>'Level 1- total summary'!I44</f>
        <v>Present?</v>
      </c>
      <c r="F44" s="449" t="str">
        <f>'Level 1- total summary'!J44</f>
        <v>Present?</v>
      </c>
      <c r="G44" s="449" t="str">
        <f>'Level 1- total summary'!K44</f>
        <v>Present?</v>
      </c>
    </row>
    <row r="45" spans="1:7" ht="12.75">
      <c r="A45" s="266" t="str">
        <f>'Step6-Hg products-substances'!A13</f>
        <v>Thermometers</v>
      </c>
      <c r="B45" s="449" t="str">
        <f>'Level 1- total summary'!F45</f>
        <v>Present?</v>
      </c>
      <c r="C45" s="449" t="str">
        <f>'Level 1- total summary'!G45</f>
        <v>Present?</v>
      </c>
      <c r="D45" s="449" t="str">
        <f>'Level 1- total summary'!H45</f>
        <v>Present?</v>
      </c>
      <c r="E45" s="449" t="str">
        <f>'Level 1- total summary'!I45</f>
        <v>Present?</v>
      </c>
      <c r="F45" s="449" t="str">
        <f>'Level 1- total summary'!J45</f>
        <v>Present?</v>
      </c>
      <c r="G45" s="449" t="str">
        <f>'Level 1- total summary'!K45</f>
        <v>Present?</v>
      </c>
    </row>
    <row r="46" spans="1:7" ht="25.5">
      <c r="A46" s="266" t="str">
        <f>'Step6-Hg products-substances'!A18</f>
        <v>Electrical switches and relays with mercury</v>
      </c>
      <c r="B46" s="449" t="str">
        <f>'Level 1- total summary'!F46</f>
        <v>See Step5 F4</v>
      </c>
      <c r="C46" s="449" t="str">
        <f>'Level 1- total summary'!G46</f>
        <v>See Step5 F4</v>
      </c>
      <c r="D46" s="449" t="str">
        <f>'Level 1- total summary'!H46</f>
        <v>See Step5 F4</v>
      </c>
      <c r="E46" s="449" t="str">
        <f>'Level 1- total summary'!I46</f>
        <v>See Step5 F4</v>
      </c>
      <c r="F46" s="449" t="str">
        <f>'Level 1- total summary'!J46</f>
        <v>See Step5 F4</v>
      </c>
      <c r="G46" s="449" t="str">
        <f>'Level 1- total summary'!K46</f>
        <v>See Step5 F4</v>
      </c>
    </row>
    <row r="47" spans="1:7" ht="12.75">
      <c r="A47" s="266" t="str">
        <f>'Step6-Hg products-substances'!A21</f>
        <v>Light sources with mercury</v>
      </c>
      <c r="B47" s="449" t="str">
        <f>'Level 1- total summary'!F47</f>
        <v>Present?</v>
      </c>
      <c r="C47" s="449" t="str">
        <f>'Level 1- total summary'!G47</f>
        <v>Present?</v>
      </c>
      <c r="D47" s="449" t="str">
        <f>'Level 1- total summary'!H47</f>
        <v>Present?</v>
      </c>
      <c r="E47" s="449" t="str">
        <f>'Level 1- total summary'!I47</f>
        <v>Present?</v>
      </c>
      <c r="F47" s="449" t="str">
        <f>'Level 1- total summary'!J47</f>
        <v>Present?</v>
      </c>
      <c r="G47" s="449" t="str">
        <f>'Level 1- total summary'!K47</f>
        <v>Present?</v>
      </c>
    </row>
    <row r="48" spans="1:7" ht="12.75">
      <c r="A48" s="376" t="str">
        <f>'Step6-Hg products-substances'!A26</f>
        <v>Batteries with mercury</v>
      </c>
      <c r="B48" s="449" t="str">
        <f>'Level 1- total summary'!F48</f>
        <v>Present?</v>
      </c>
      <c r="C48" s="449" t="str">
        <f>'Level 1- total summary'!G48</f>
        <v>Present?</v>
      </c>
      <c r="D48" s="449" t="str">
        <f>'Level 1- total summary'!H48</f>
        <v>Present?</v>
      </c>
      <c r="E48" s="449" t="str">
        <f>'Level 1- total summary'!I48</f>
        <v>Present?</v>
      </c>
      <c r="F48" s="449" t="str">
        <f>'Level 1- total summary'!J48</f>
        <v>Present?</v>
      </c>
      <c r="G48" s="449" t="str">
        <f>'Level 1- total summary'!K48</f>
        <v>Present?</v>
      </c>
    </row>
    <row r="49" spans="1:7" ht="25.5">
      <c r="A49" s="266" t="str">
        <f>'Step6-Hg products-substances'!A31</f>
        <v>Polyurethane (PU, PUR) produced with mercury catalyst</v>
      </c>
      <c r="B49" s="449" t="str">
        <f>'Level 1- total summary'!F49</f>
        <v>See Step5 F4</v>
      </c>
      <c r="C49" s="449" t="str">
        <f>'Level 1- total summary'!G49</f>
        <v>See Step5 F4</v>
      </c>
      <c r="D49" s="449" t="str">
        <f>'Level 1- total summary'!H49</f>
        <v>See Step5 F4</v>
      </c>
      <c r="E49" s="449" t="str">
        <f>'Level 1- total summary'!I49</f>
        <v>See Step5 F4</v>
      </c>
      <c r="F49" s="449" t="str">
        <f>'Level 1- total summary'!J49</f>
        <v>See Step5 F4</v>
      </c>
      <c r="G49" s="449" t="str">
        <f>'Level 1- total summary'!K49</f>
        <v>See Step5 F4</v>
      </c>
    </row>
    <row r="50" spans="1:7" ht="25.5">
      <c r="A50" s="266" t="str">
        <f>'Step6-Hg products-substances'!A34</f>
        <v>Paints with mercury preservatives</v>
      </c>
      <c r="B50" s="449" t="str">
        <f>'Level 1- total summary'!F50</f>
        <v>See Step5 F4</v>
      </c>
      <c r="C50" s="449" t="str">
        <f>'Level 1- total summary'!G50</f>
        <v>See Step5 F4</v>
      </c>
      <c r="D50" s="449" t="str">
        <f>'Level 1- total summary'!H50</f>
        <v>See Step5 F4</v>
      </c>
      <c r="E50" s="449" t="str">
        <f>'Level 1- total summary'!I50</f>
        <v>See Step5 F4</v>
      </c>
      <c r="F50" s="449" t="str">
        <f>'Level 1- total summary'!J50</f>
        <v>See Step5 F4</v>
      </c>
      <c r="G50" s="449" t="str">
        <f>'Level 1- total summary'!K50</f>
        <v>See Step5 F4</v>
      </c>
    </row>
    <row r="51" spans="1:7" ht="25.5">
      <c r="A51" s="266" t="str">
        <f>'Step6-Hg products-substances'!A36</f>
        <v>Skin lightening creams and soaps with mercury chemicals</v>
      </c>
      <c r="B51" s="449" t="str">
        <f>'Level 1- total summary'!F51</f>
        <v>See Step5 F4</v>
      </c>
      <c r="C51" s="449" t="str">
        <f>'Level 1- total summary'!G51</f>
        <v>See Step5 F4</v>
      </c>
      <c r="D51" s="449" t="str">
        <f>'Level 1- total summary'!H51</f>
        <v>See Step5 F4</v>
      </c>
      <c r="E51" s="449" t="str">
        <f>'Level 1- total summary'!I51</f>
        <v>See Step5 F4</v>
      </c>
      <c r="F51" s="449" t="str">
        <f>'Level 1- total summary'!J51</f>
        <v>See Step5 F4</v>
      </c>
      <c r="G51" s="449" t="str">
        <f>'Level 1- total summary'!K51</f>
        <v>See Step5 F4</v>
      </c>
    </row>
    <row r="52" spans="1:7" ht="29.25" customHeight="1">
      <c r="A52" s="266" t="str">
        <f>'Step6-Hg products-substances'!A38</f>
        <v>Medical blood pressure gauges (mercury sphygmomanometers)</v>
      </c>
      <c r="B52" s="449" t="str">
        <f>'Level 1- total summary'!F52</f>
        <v>See Step5 F4</v>
      </c>
      <c r="C52" s="449" t="str">
        <f>'Level 1- total summary'!G52</f>
        <v>See Step5 F4</v>
      </c>
      <c r="D52" s="449" t="str">
        <f>'Level 1- total summary'!H52</f>
        <v>See Step5 F4</v>
      </c>
      <c r="E52" s="449" t="str">
        <f>'Level 1- total summary'!I52</f>
        <v>See Step5 F4</v>
      </c>
      <c r="F52" s="449" t="str">
        <f>'Level 1- total summary'!J52</f>
        <v>See Step5 F4</v>
      </c>
      <c r="G52" s="449" t="str">
        <f>'Level 1- total summary'!K52</f>
        <v>See Step5 F4</v>
      </c>
    </row>
    <row r="53" spans="1:7" ht="25.5">
      <c r="A53" s="266" t="str">
        <f>'Step6-Hg products-substances'!A40</f>
        <v>Other manometers and gauges with mercury</v>
      </c>
      <c r="B53" s="449" t="str">
        <f>'Level 1- total summary'!F53</f>
        <v>See Step5 F4</v>
      </c>
      <c r="C53" s="449" t="str">
        <f>'Level 1- total summary'!G53</f>
        <v>See Step5 F4</v>
      </c>
      <c r="D53" s="449" t="str">
        <f>'Level 1- total summary'!H53</f>
        <v>See Step5 F4</v>
      </c>
      <c r="E53" s="449" t="str">
        <f>'Level 1- total summary'!I53</f>
        <v>See Step5 F4</v>
      </c>
      <c r="F53" s="449" t="str">
        <f>'Level 1- total summary'!J53</f>
        <v>See Step5 F4</v>
      </c>
      <c r="G53" s="449" t="str">
        <f>'Level 1- total summary'!K53</f>
        <v>See Step5 F4</v>
      </c>
    </row>
    <row r="54" spans="1:7" ht="25.5">
      <c r="A54" s="266" t="str">
        <f>'Step6-Hg products-substances'!A43</f>
        <v>Laboratory chemicals</v>
      </c>
      <c r="B54" s="449" t="str">
        <f>'Level 1- total summary'!F54</f>
        <v>See Step5 F4</v>
      </c>
      <c r="C54" s="449" t="str">
        <f>'Level 1- total summary'!G54</f>
        <v>See Step5 F4</v>
      </c>
      <c r="D54" s="449" t="str">
        <f>'Level 1- total summary'!H54</f>
        <v>See Step5 F4</v>
      </c>
      <c r="E54" s="449" t="str">
        <f>'Level 1- total summary'!I54</f>
        <v>See Step5 F4</v>
      </c>
      <c r="F54" s="449" t="str">
        <f>'Level 1- total summary'!J54</f>
        <v>See Step5 F4</v>
      </c>
      <c r="G54" s="449" t="str">
        <f>'Level 1- total summary'!K54</f>
        <v>See Step5 F4</v>
      </c>
    </row>
    <row r="55" spans="1:7" ht="25.5">
      <c r="A55" s="266" t="str">
        <f>'Step6-Hg products-substances'!A46</f>
        <v>Other laboratory and medical equipment with mercury </v>
      </c>
      <c r="B55" s="449" t="str">
        <f>'Level 1- total summary'!F55</f>
        <v>See Step5 F4</v>
      </c>
      <c r="C55" s="449" t="str">
        <f>'Level 1- total summary'!G55</f>
        <v>See Step5 F4</v>
      </c>
      <c r="D55" s="449" t="str">
        <f>'Level 1- total summary'!H55</f>
        <v>See Step5 F4</v>
      </c>
      <c r="E55" s="449" t="str">
        <f>'Level 1- total summary'!I55</f>
        <v>See Step5 F4</v>
      </c>
      <c r="F55" s="449" t="str">
        <f>'Level 1- total summary'!J55</f>
        <v>See Step5 F4</v>
      </c>
      <c r="G55" s="449" t="str">
        <f>'Level 1- total summary'!K55</f>
        <v>See Step5 F4</v>
      </c>
    </row>
    <row r="56" spans="1:7" ht="12.75">
      <c r="A56" s="408" t="str">
        <f>'Step5-Waste treatment+recycling'!A8</f>
        <v>Production of recycled of metals</v>
      </c>
      <c r="B56" s="373"/>
      <c r="C56" s="373"/>
      <c r="D56" s="373"/>
      <c r="E56" s="313"/>
      <c r="F56" s="313"/>
      <c r="G56" s="313"/>
    </row>
    <row r="57" spans="1:7" ht="25.5">
      <c r="A57" s="266" t="str">
        <f>'Step5-Waste treatment+recycling'!A9</f>
        <v>Production of recycled mercury ("secondary production”)</v>
      </c>
      <c r="B57" s="449" t="str">
        <f>'Level 1- total summary'!F57</f>
        <v>Present?</v>
      </c>
      <c r="C57" s="449" t="str">
        <f>'Level 1- total summary'!G57</f>
        <v>Present?</v>
      </c>
      <c r="D57" s="449" t="str">
        <f>'Level 1- total summary'!H57</f>
        <v>Present?</v>
      </c>
      <c r="E57" s="449" t="str">
        <f>'Level 1- total summary'!I57</f>
        <v>Present?</v>
      </c>
      <c r="F57" s="449" t="str">
        <f>'Level 1- total summary'!J57</f>
        <v>Present?</v>
      </c>
      <c r="G57" s="449" t="str">
        <f>'Level 1- total summary'!K57</f>
        <v>Present?</v>
      </c>
    </row>
    <row r="58" spans="1:7" ht="12.75">
      <c r="A58" s="266" t="str">
        <f>'Step5-Waste treatment+recycling'!A10</f>
        <v>Production of recycled ferrous metals (iron and steel)</v>
      </c>
      <c r="B58" s="449" t="str">
        <f>'Level 1- total summary'!F58</f>
        <v>Present?</v>
      </c>
      <c r="C58" s="449" t="str">
        <f>'Level 1- total summary'!G58</f>
        <v>Present?</v>
      </c>
      <c r="D58" s="449" t="str">
        <f>'Level 1- total summary'!H58</f>
        <v>Present?</v>
      </c>
      <c r="E58" s="449" t="str">
        <f>'Level 1- total summary'!I58</f>
        <v>Present?</v>
      </c>
      <c r="F58" s="449" t="str">
        <f>'Level 1- total summary'!J58</f>
        <v>Present?</v>
      </c>
      <c r="G58" s="449" t="str">
        <f>'Level 1- total summary'!K58</f>
        <v>Present?</v>
      </c>
    </row>
    <row r="59" spans="1:7" ht="12.75">
      <c r="A59" s="408" t="str">
        <f>'Step5-Waste treatment+recycling'!A12</f>
        <v>Waste incineration</v>
      </c>
      <c r="B59" s="373"/>
      <c r="C59" s="373"/>
      <c r="D59" s="373"/>
      <c r="E59" s="313"/>
      <c r="F59" s="313"/>
      <c r="G59" s="313"/>
    </row>
    <row r="60" spans="1:7" ht="12.75">
      <c r="A60" s="266" t="str">
        <f>'Step5-Waste treatment+recycling'!A13</f>
        <v>Incineration of municipal/general waste</v>
      </c>
      <c r="B60" s="449" t="str">
        <f>'Level 1- total summary'!F60</f>
        <v>Present?</v>
      </c>
      <c r="C60" s="449" t="str">
        <f>'Level 1- total summary'!G60</f>
        <v>Present?</v>
      </c>
      <c r="D60" s="449" t="str">
        <f>'Level 1- total summary'!H60</f>
        <v>Present?</v>
      </c>
      <c r="E60" s="449" t="str">
        <f>'Level 1- total summary'!I60</f>
        <v>Present?</v>
      </c>
      <c r="F60" s="449" t="str">
        <f>'Level 1- total summary'!J60</f>
        <v>Present?</v>
      </c>
      <c r="G60" s="449" t="str">
        <f>'Level 1- total summary'!K60</f>
        <v>Present?</v>
      </c>
    </row>
    <row r="61" spans="1:7" ht="12.75">
      <c r="A61" s="266" t="str">
        <f>'Step5-Waste treatment+recycling'!A14</f>
        <v>Incineration of hazardous waste</v>
      </c>
      <c r="B61" s="449" t="str">
        <f>'Level 1- total summary'!F61</f>
        <v>Present?</v>
      </c>
      <c r="C61" s="449" t="str">
        <f>'Level 1- total summary'!G61</f>
        <v>Present?</v>
      </c>
      <c r="D61" s="449" t="str">
        <f>'Level 1- total summary'!H61</f>
        <v>Present?</v>
      </c>
      <c r="E61" s="449" t="str">
        <f>'Level 1- total summary'!I61</f>
        <v>Present?</v>
      </c>
      <c r="F61" s="449" t="str">
        <f>'Level 1- total summary'!J61</f>
        <v>Present?</v>
      </c>
      <c r="G61" s="449" t="str">
        <f>'Level 1- total summary'!K61</f>
        <v>Present?</v>
      </c>
    </row>
    <row r="62" spans="1:7" ht="12.75">
      <c r="A62" s="266" t="str">
        <f>'Step5-Waste treatment+recycling'!A15</f>
        <v>Incineration and open burning of medical waste</v>
      </c>
      <c r="B62" s="449" t="str">
        <f>'Level 1- total summary'!F62</f>
        <v>Present?</v>
      </c>
      <c r="C62" s="449" t="str">
        <f>'Level 1- total summary'!G62</f>
        <v>Present?</v>
      </c>
      <c r="D62" s="449" t="str">
        <f>'Level 1- total summary'!H62</f>
        <v>Present?</v>
      </c>
      <c r="E62" s="449" t="str">
        <f>'Level 1- total summary'!I62</f>
        <v>Present?</v>
      </c>
      <c r="F62" s="449" t="str">
        <f>'Level 1- total summary'!J62</f>
        <v>Present?</v>
      </c>
      <c r="G62" s="449" t="str">
        <f>'Level 1- total summary'!K62</f>
        <v>Present?</v>
      </c>
    </row>
    <row r="63" spans="1:7" ht="12.75">
      <c r="A63" s="266" t="str">
        <f>'Step5-Waste treatment+recycling'!A16</f>
        <v>Sewage sludge incineration</v>
      </c>
      <c r="B63" s="449" t="str">
        <f>'Level 1- total summary'!F63</f>
        <v>Present?</v>
      </c>
      <c r="C63" s="449" t="str">
        <f>'Level 1- total summary'!G63</f>
        <v>Present?</v>
      </c>
      <c r="D63" s="449" t="str">
        <f>'Level 1- total summary'!H63</f>
        <v>Present?</v>
      </c>
      <c r="E63" s="449" t="str">
        <f>'Level 1- total summary'!I63</f>
        <v>Present?</v>
      </c>
      <c r="F63" s="449" t="str">
        <f>'Level 1- total summary'!J63</f>
        <v>Present?</v>
      </c>
      <c r="G63" s="449" t="str">
        <f>'Level 1- total summary'!K63</f>
        <v>Present?</v>
      </c>
    </row>
    <row r="64" spans="1:7" ht="12.75">
      <c r="A64" s="266" t="str">
        <f>'Step5-Waste treatment+recycling'!A17</f>
        <v>Open fire waste burning (on landfills and informally)</v>
      </c>
      <c r="B64" s="449" t="str">
        <f>'Level 1- total summary'!F64</f>
        <v>Present?</v>
      </c>
      <c r="C64" s="449" t="str">
        <f>'Level 1- total summary'!G64</f>
        <v>Present?</v>
      </c>
      <c r="D64" s="449" t="str">
        <f>'Level 1- total summary'!H64</f>
        <v>Present?</v>
      </c>
      <c r="E64" s="449" t="str">
        <f>'Level 1- total summary'!I64</f>
        <v>Present?</v>
      </c>
      <c r="F64" s="449" t="str">
        <f>'Level 1- total summary'!J64</f>
        <v>Present?</v>
      </c>
      <c r="G64" s="449" t="str">
        <f>'Level 1- total summary'!K64</f>
        <v>Present?</v>
      </c>
    </row>
    <row r="65" spans="1:7" ht="25.5">
      <c r="A65" s="408" t="str">
        <f>'Step5-Waste treatment+recycling'!A19</f>
        <v>Waste deposition/landfilling and waste water treatment</v>
      </c>
      <c r="B65" s="373"/>
      <c r="C65" s="373"/>
      <c r="D65" s="373"/>
      <c r="E65" s="313"/>
      <c r="F65" s="313"/>
      <c r="G65" s="313"/>
    </row>
    <row r="66" spans="1:7" ht="12.75">
      <c r="A66" s="266" t="str">
        <f>'Step5-Waste treatment+recycling'!A20</f>
        <v>Controlled landfills/deposits</v>
      </c>
      <c r="B66" s="449" t="str">
        <f>'Level 1- total summary'!F66</f>
        <v>Present?</v>
      </c>
      <c r="C66" s="449" t="str">
        <f>'Level 1- total summary'!G66</f>
        <v>Present?</v>
      </c>
      <c r="D66" s="449" t="str">
        <f>'Level 1- total summary'!H66</f>
        <v>Present?</v>
      </c>
      <c r="E66" s="449" t="str">
        <f>'Level 1- total summary'!I66</f>
        <v>Present?</v>
      </c>
      <c r="F66" s="449" t="str">
        <f>'Level 1- total summary'!J66</f>
        <v>Present?</v>
      </c>
      <c r="G66" s="449" t="str">
        <f>'Level 1- total summary'!K66</f>
        <v>Present?</v>
      </c>
    </row>
    <row r="67" spans="1:7" ht="12.75">
      <c r="A67" s="266" t="s">
        <v>508</v>
      </c>
      <c r="B67" s="449" t="str">
        <f>'Level 1- total summary'!F67</f>
        <v>Present?</v>
      </c>
      <c r="C67" s="449" t="str">
        <f>'Level 1- total summary'!G67</f>
        <v>Present?</v>
      </c>
      <c r="D67" s="449" t="str">
        <f>'Level 1- total summary'!H67</f>
        <v>Present?</v>
      </c>
      <c r="E67" s="449" t="str">
        <f>'Level 1- total summary'!I67</f>
        <v>Present?</v>
      </c>
      <c r="F67" s="449" t="str">
        <f>'Level 1- total summary'!J67</f>
        <v>Present?</v>
      </c>
      <c r="G67" s="449" t="str">
        <f>'Level 1- total summary'!K67</f>
        <v>Present?</v>
      </c>
    </row>
    <row r="68" spans="1:7" ht="12.75">
      <c r="A68" s="376" t="s">
        <v>562</v>
      </c>
      <c r="B68" s="449" t="str">
        <f>'Level 1- total summary'!F68</f>
        <v>Present?</v>
      </c>
      <c r="C68" s="449" t="str">
        <f>'Level 1- total summary'!G68</f>
        <v>Present?</v>
      </c>
      <c r="D68" s="449" t="str">
        <f>'Level 1- total summary'!H68</f>
        <v>Present?</v>
      </c>
      <c r="E68" s="449" t="str">
        <f>'Level 1- total summary'!I68</f>
        <v>Present?</v>
      </c>
      <c r="F68" s="449" t="str">
        <f>'Level 1- total summary'!J68</f>
        <v>Present?</v>
      </c>
      <c r="G68" s="449" t="str">
        <f>'Level 1- total summary'!K68</f>
        <v>Present?</v>
      </c>
    </row>
    <row r="69" spans="1:7" ht="12.75">
      <c r="A69" s="408" t="str">
        <f>'Step7-Crematoria-cemetaries'!A4</f>
        <v>Crematoria and cemeteries</v>
      </c>
      <c r="B69" s="373"/>
      <c r="C69" s="373"/>
      <c r="D69" s="373"/>
      <c r="E69" s="313"/>
      <c r="F69" s="313"/>
      <c r="G69" s="313"/>
    </row>
    <row r="70" spans="1:7" ht="12.75">
      <c r="A70" s="266" t="str">
        <f>'Step7-Crematoria-cemetaries'!A5</f>
        <v>Crematoria</v>
      </c>
      <c r="B70" s="449" t="str">
        <f>'Level 1- total summary'!F70</f>
        <v>Present?</v>
      </c>
      <c r="C70" s="449" t="str">
        <f>'Level 1- total summary'!G70</f>
        <v>Present?</v>
      </c>
      <c r="D70" s="449" t="str">
        <f>'Level 1- total summary'!H70</f>
        <v>Present?</v>
      </c>
      <c r="E70" s="449" t="str">
        <f>'Level 1- total summary'!I70</f>
        <v>Present?</v>
      </c>
      <c r="F70" s="449" t="str">
        <f>'Level 1- total summary'!J70</f>
        <v>Present?</v>
      </c>
      <c r="G70" s="449" t="str">
        <f>'Level 1- total summary'!K70</f>
        <v>Present?</v>
      </c>
    </row>
    <row r="71" spans="1:7" ht="12.75">
      <c r="A71" s="266" t="str">
        <f>'Step7-Crematoria-cemetaries'!A6</f>
        <v>Cemeteries</v>
      </c>
      <c r="B71" s="449" t="str">
        <f>'Level 1- total summary'!F71</f>
        <v>Present?</v>
      </c>
      <c r="C71" s="449" t="str">
        <f>'Level 1- total summary'!G71</f>
        <v>Present?</v>
      </c>
      <c r="D71" s="449" t="str">
        <f>'Level 1- total summary'!H71</f>
        <v>Present?</v>
      </c>
      <c r="E71" s="449" t="str">
        <f>'Level 1- total summary'!I71</f>
        <v>Present?</v>
      </c>
      <c r="F71" s="449" t="str">
        <f>'Level 1- total summary'!J71</f>
        <v>Present?</v>
      </c>
      <c r="G71" s="449" t="str">
        <f>'Level 1- total summary'!K71</f>
        <v>Present?</v>
      </c>
    </row>
    <row r="72" spans="1:7" s="363" customFormat="1" ht="12.75">
      <c r="A72" s="269" t="s">
        <v>915</v>
      </c>
      <c r="B72" s="605">
        <f>'Level 1- total summary'!F72</f>
        <v>0</v>
      </c>
      <c r="C72" s="605" t="e">
        <f>'Level 1- total summary'!G72</f>
        <v>#VALUE!</v>
      </c>
      <c r="D72" s="605" t="e">
        <f>'Level 1- total summary'!H72</f>
        <v>#VALUE!</v>
      </c>
      <c r="E72" s="605">
        <f>'Level 1- total summary'!I72</f>
        <v>0</v>
      </c>
      <c r="F72" s="605">
        <f>'Level 1- total summary'!J72</f>
        <v>0</v>
      </c>
      <c r="G72" s="605">
        <f>'Level 1- total summary'!K72</f>
        <v>0</v>
      </c>
    </row>
    <row r="73" ht="12.75">
      <c r="A73" s="365"/>
    </row>
    <row r="74" ht="12.75">
      <c r="A74" s="329" t="s">
        <v>56</v>
      </c>
    </row>
    <row r="75" ht="12.75">
      <c r="A75" s="329" t="s">
        <v>556</v>
      </c>
    </row>
    <row r="76" ht="12.75">
      <c r="A76" s="329" t="s">
        <v>579</v>
      </c>
    </row>
    <row r="77" ht="12.75">
      <c r="A77" s="329" t="s">
        <v>564</v>
      </c>
    </row>
    <row r="78" ht="12.75">
      <c r="A78" s="329" t="s">
        <v>565</v>
      </c>
    </row>
    <row r="91" ht="12.75">
      <c r="A91" s="329"/>
    </row>
    <row r="92" ht="12.75">
      <c r="A92" s="329"/>
    </row>
    <row r="93" ht="12.75">
      <c r="A93" s="329"/>
    </row>
  </sheetData>
  <sheetProtection password="83AF" sheet="1"/>
  <mergeCells count="1">
    <mergeCell ref="B2:G2"/>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64" r:id="rId1"/>
  <headerFooter>
    <oddFooter>&amp;L&amp;A
Printed &amp;D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I51" sqref="I51"/>
    </sheetView>
  </sheetViews>
  <sheetFormatPr defaultColWidth="9.140625" defaultRowHeight="12.75"/>
  <cols>
    <col min="1" max="1" width="46.8515625" style="346" customWidth="1"/>
    <col min="2" max="2" width="14.421875" style="367" customWidth="1"/>
    <col min="3" max="3" width="14.421875" style="346" customWidth="1"/>
    <col min="4" max="4" width="33.57421875" style="346" customWidth="1"/>
    <col min="5" max="5" width="12.421875" style="346" customWidth="1"/>
    <col min="6" max="6" width="12.8515625" style="346" customWidth="1"/>
    <col min="7" max="7" width="11.7109375" style="346" customWidth="1"/>
    <col min="8" max="10" width="12.421875" style="346" customWidth="1"/>
    <col min="11" max="11" width="16.140625" style="346" customWidth="1"/>
    <col min="12" max="12" width="10.8515625" style="346" customWidth="1"/>
    <col min="13" max="16384" width="9.140625" style="346" customWidth="1"/>
  </cols>
  <sheetData>
    <row r="1" spans="1:2" ht="12.75">
      <c r="A1" s="363" t="s">
        <v>526</v>
      </c>
      <c r="B1" s="364"/>
    </row>
    <row r="2" spans="1:12" s="368" customFormat="1" ht="38.25" customHeight="1">
      <c r="A2" s="266" t="s">
        <v>323</v>
      </c>
      <c r="B2" s="267" t="s">
        <v>381</v>
      </c>
      <c r="C2" s="266"/>
      <c r="D2" s="266"/>
      <c r="E2" s="372" t="s">
        <v>373</v>
      </c>
      <c r="F2" s="687" t="s">
        <v>379</v>
      </c>
      <c r="G2" s="688"/>
      <c r="H2" s="688"/>
      <c r="I2" s="688"/>
      <c r="J2" s="688"/>
      <c r="K2" s="689"/>
      <c r="L2" s="266"/>
    </row>
    <row r="3" spans="1:12" ht="38.25">
      <c r="A3" s="438"/>
      <c r="B3" s="351" t="str">
        <f>quest</f>
        <v>Y/N/?</v>
      </c>
      <c r="C3" s="272" t="s">
        <v>518</v>
      </c>
      <c r="D3" s="272" t="s">
        <v>35</v>
      </c>
      <c r="E3" s="267" t="s">
        <v>378</v>
      </c>
      <c r="F3" s="273" t="s">
        <v>38</v>
      </c>
      <c r="G3" s="273" t="s">
        <v>39</v>
      </c>
      <c r="H3" s="273" t="s">
        <v>40</v>
      </c>
      <c r="I3" s="460" t="s">
        <v>521</v>
      </c>
      <c r="J3" s="267" t="s">
        <v>42</v>
      </c>
      <c r="K3" s="267" t="s">
        <v>380</v>
      </c>
      <c r="L3" s="266" t="s">
        <v>372</v>
      </c>
    </row>
    <row r="4" spans="1:12" ht="12.75">
      <c r="A4" s="408" t="str">
        <f>'Step2-Energy'!A4</f>
        <v>Energy consumption</v>
      </c>
      <c r="B4" s="381"/>
      <c r="C4" s="445"/>
      <c r="D4" s="308"/>
      <c r="E4" s="445"/>
      <c r="F4" s="373"/>
      <c r="G4" s="373"/>
      <c r="H4" s="373"/>
      <c r="I4" s="313"/>
      <c r="J4" s="313"/>
      <c r="K4" s="313"/>
      <c r="L4" s="380"/>
    </row>
    <row r="5" spans="1:12" ht="12.75">
      <c r="A5" s="266" t="str">
        <f>'Step2-Energy'!A5</f>
        <v>Coal combustion in large power plants</v>
      </c>
      <c r="B5" s="272" t="str">
        <f>IF(OR('Step2-Energy'!B5=yes,'Step2-Energy'!B5=no,'Step2-Energy'!B5=que),'Step2-Energy'!B5,pres)</f>
        <v>Present?</v>
      </c>
      <c r="C5" s="448">
        <f>'Step2-Energy'!C5</f>
        <v>0</v>
      </c>
      <c r="D5" s="266" t="str">
        <f>'Step2-Energy'!D5</f>
        <v>Coal combusted, t/y </v>
      </c>
      <c r="E5" s="463" t="str">
        <f>IF('Insert IL2 results'!C12="",'Step2-Energy'!E5,'Insert IL2 results'!C12)</f>
        <v>Present?</v>
      </c>
      <c r="F5" s="449" t="str">
        <f>IF('Insert IL2 results'!D12="",'Step2-Energy'!F5,'Insert IL2 results'!D12)</f>
        <v>Present?</v>
      </c>
      <c r="G5" s="449" t="str">
        <f>IF('Insert IL2 results'!E12="",'Step2-Energy'!G5,'Insert IL2 results'!E12)</f>
        <v>Present?</v>
      </c>
      <c r="H5" s="449" t="str">
        <f>IF('Insert IL2 results'!F12="",'Step2-Energy'!H5,'Insert IL2 results'!F12)</f>
        <v>Present?</v>
      </c>
      <c r="I5" s="449" t="str">
        <f>IF('Insert IL2 results'!G12="",'Step2-Energy'!I5,'Insert IL2 results'!G12)</f>
        <v>Present?</v>
      </c>
      <c r="J5" s="449" t="str">
        <f>IF('Insert IL2 results'!H12="",'Step2-Energy'!J5,'Insert IL2 results'!H12)</f>
        <v>Present?</v>
      </c>
      <c r="K5" s="449" t="str">
        <f>IF('Insert IL2 results'!I12="",'Step2-Energy'!K5,'Insert IL2 results'!I12)</f>
        <v>Present?</v>
      </c>
      <c r="L5" s="266" t="str">
        <f>'Step2-Energy'!L5</f>
        <v>5.1.1</v>
      </c>
    </row>
    <row r="6" spans="1:12" ht="12.75">
      <c r="A6" s="266" t="str">
        <f>'Step2-Energy'!A6</f>
        <v>Other coal uses</v>
      </c>
      <c r="B6" s="272" t="str">
        <f>IF(OR('Step2-Energy'!B6=yes,'Step2-Energy'!B6=no,'Step2-Energy'!B6=que),'Step2-Energy'!B6,pres)</f>
        <v>Present?</v>
      </c>
      <c r="C6" s="448">
        <f>'Step2-Energy'!C6</f>
        <v>0</v>
      </c>
      <c r="D6" s="266" t="str">
        <f>'Step2-Energy'!D6</f>
        <v>Coal used, t/y</v>
      </c>
      <c r="E6" s="463" t="str">
        <f>IF('Insert IL2 results'!C13="",'Step2-Energy'!E6,'Insert IL2 results'!C13)</f>
        <v>Present?</v>
      </c>
      <c r="F6" s="449" t="str">
        <f>IF('Insert IL2 results'!D13="",'Step2-Energy'!F6,'Insert IL2 results'!D13)</f>
        <v>Present?</v>
      </c>
      <c r="G6" s="449" t="str">
        <f>IF('Insert IL2 results'!E13="",'Step2-Energy'!G6,'Insert IL2 results'!E13)</f>
        <v>Present?</v>
      </c>
      <c r="H6" s="449" t="str">
        <f>IF('Insert IL2 results'!F13="",'Step2-Energy'!H6,'Insert IL2 results'!F13)</f>
        <v>Present?</v>
      </c>
      <c r="I6" s="449" t="str">
        <f>IF('Insert IL2 results'!G13="",'Step2-Energy'!I6,'Insert IL2 results'!G13)</f>
        <v>Present?</v>
      </c>
      <c r="J6" s="449" t="str">
        <f>IF('Insert IL2 results'!H13="",'Step2-Energy'!J6,'Insert IL2 results'!H13)</f>
        <v>Present?</v>
      </c>
      <c r="K6" s="449" t="str">
        <f>IF('Insert IL2 results'!I13="",'Step2-Energy'!K6,'Insert IL2 results'!I13)</f>
        <v>Present?</v>
      </c>
      <c r="L6" s="266" t="str">
        <f>'Step2-Energy'!L6</f>
        <v>5.1.2</v>
      </c>
    </row>
    <row r="7" spans="1:12" ht="12.75">
      <c r="A7" s="266" t="str">
        <f>'Step2-Energy'!A7</f>
        <v>Combustion/use of petroleum coke and heavy oil</v>
      </c>
      <c r="B7" s="272" t="str">
        <f>IF(OR('Step2-Energy'!B7=yes,'Step2-Energy'!B7=no,'Step2-Energy'!B7=que),'Step2-Energy'!B7,pres)</f>
        <v>Present?</v>
      </c>
      <c r="C7" s="448">
        <f>'Step2-Energy'!C7</f>
        <v>0</v>
      </c>
      <c r="D7" s="266" t="str">
        <f>'Step2-Energy'!D7</f>
        <v>Oil product combusted, t/y</v>
      </c>
      <c r="E7" s="463" t="str">
        <f>IF('Insert IL2 results'!C14="",'Step2-Energy'!E7,'Insert IL2 results'!C14)</f>
        <v>Present?</v>
      </c>
      <c r="F7" s="449" t="str">
        <f>IF('Insert IL2 results'!D14="",'Step2-Energy'!F7,'Insert IL2 results'!D14)</f>
        <v>Present?</v>
      </c>
      <c r="G7" s="449" t="str">
        <f>IF('Insert IL2 results'!E14="",'Step2-Energy'!G7,'Insert IL2 results'!E14)</f>
        <v>Present?</v>
      </c>
      <c r="H7" s="449" t="str">
        <f>IF('Insert IL2 results'!F14="",'Step2-Energy'!H7,'Insert IL2 results'!F14)</f>
        <v>Present?</v>
      </c>
      <c r="I7" s="449" t="str">
        <f>IF('Insert IL2 results'!G14="",'Step2-Energy'!I7,'Insert IL2 results'!G14)</f>
        <v>Present?</v>
      </c>
      <c r="J7" s="449" t="str">
        <f>IF('Insert IL2 results'!H14="",'Step2-Energy'!J7,'Insert IL2 results'!H14)</f>
        <v>Present?</v>
      </c>
      <c r="K7" s="449" t="str">
        <f>IF('Insert IL2 results'!I14="",'Step2-Energy'!K7,'Insert IL2 results'!I14)</f>
        <v>Present?</v>
      </c>
      <c r="L7" s="266" t="str">
        <f>'Step2-Energy'!L7</f>
        <v>5.1.3</v>
      </c>
    </row>
    <row r="8" spans="1:12" ht="15.75" customHeight="1">
      <c r="A8" s="266" t="str">
        <f>'Step2-Energy'!A8</f>
        <v>Combustion/use of diesel, gasoil, petroleum, kerosene</v>
      </c>
      <c r="B8" s="272" t="str">
        <f>IF(OR('Step2-Energy'!B8=yes,'Step2-Energy'!B8=no,'Step2-Energy'!B8=que),'Step2-Energy'!B8,pres)</f>
        <v>Present?</v>
      </c>
      <c r="C8" s="448">
        <f>'Step2-Energy'!C8</f>
        <v>0</v>
      </c>
      <c r="D8" s="266" t="str">
        <f>'Step2-Energy'!D8</f>
        <v>Oil product combusted, t/y</v>
      </c>
      <c r="E8" s="463" t="str">
        <f>IF('Insert IL2 results'!C15="",'Step2-Energy'!E8,'Insert IL2 results'!C15)</f>
        <v>Present?</v>
      </c>
      <c r="F8" s="449" t="str">
        <f>IF('Insert IL2 results'!D15="",'Step2-Energy'!F8,'Insert IL2 results'!D15)</f>
        <v>Present?</v>
      </c>
      <c r="G8" s="449" t="str">
        <f>IF('Insert IL2 results'!E15="",'Step2-Energy'!G8,'Insert IL2 results'!E15)</f>
        <v>Present?</v>
      </c>
      <c r="H8" s="449" t="str">
        <f>IF('Insert IL2 results'!F15="",'Step2-Energy'!H8,'Insert IL2 results'!F15)</f>
        <v>Present?</v>
      </c>
      <c r="I8" s="449" t="str">
        <f>IF('Insert IL2 results'!G15="",'Step2-Energy'!I8,'Insert IL2 results'!G15)</f>
        <v>Present?</v>
      </c>
      <c r="J8" s="449" t="str">
        <f>IF('Insert IL2 results'!H15="",'Step2-Energy'!J8,'Insert IL2 results'!H15)</f>
        <v>Present?</v>
      </c>
      <c r="K8" s="449" t="str">
        <f>IF('Insert IL2 results'!I15="",'Step2-Energy'!K8,'Insert IL2 results'!I15)</f>
        <v>Present?</v>
      </c>
      <c r="L8" s="266" t="str">
        <f>'Step2-Energy'!L8</f>
        <v>5.1.3</v>
      </c>
    </row>
    <row r="9" spans="1:12" ht="15.75" customHeight="1">
      <c r="A9" s="266" t="str">
        <f>'Step2-Energy'!A9</f>
        <v>Use of raw or pre-cleaned natural gas</v>
      </c>
      <c r="B9" s="272" t="str">
        <f>IF(OR('Step2-Energy'!B9=yes,'Step2-Energy'!B9=no,'Step2-Energy'!B9=que),'Step2-Energy'!B9,pres)</f>
        <v>Present?</v>
      </c>
      <c r="C9" s="448">
        <f>'Step2-Energy'!C9</f>
        <v>0</v>
      </c>
      <c r="D9" s="266" t="str">
        <f>'Step2-Energy'!D9</f>
        <v>Gas used, Nm³/y</v>
      </c>
      <c r="E9" s="463" t="str">
        <f>IF('Insert IL2 results'!C16="",'Step2-Energy'!E9,'Insert IL2 results'!C16)</f>
        <v>Present?</v>
      </c>
      <c r="F9" s="449" t="str">
        <f>IF('Insert IL2 results'!D16="",'Step2-Energy'!F9,'Insert IL2 results'!D16)</f>
        <v>Present?</v>
      </c>
      <c r="G9" s="449" t="str">
        <f>IF('Insert IL2 results'!E16="",'Step2-Energy'!G9,'Insert IL2 results'!E16)</f>
        <v>Present?</v>
      </c>
      <c r="H9" s="449" t="str">
        <f>IF('Insert IL2 results'!F16="",'Step2-Energy'!H9,'Insert IL2 results'!F16)</f>
        <v>Present?</v>
      </c>
      <c r="I9" s="449" t="str">
        <f>IF('Insert IL2 results'!G16="",'Step2-Energy'!I9,'Insert IL2 results'!G16)</f>
        <v>Present?</v>
      </c>
      <c r="J9" s="449" t="str">
        <f>IF('Insert IL2 results'!H16="",'Step2-Energy'!J9,'Insert IL2 results'!H16)</f>
        <v>Present?</v>
      </c>
      <c r="K9" s="449" t="str">
        <f>IF('Insert IL2 results'!I16="",'Step2-Energy'!K9,'Insert IL2 results'!I16)</f>
        <v>Present?</v>
      </c>
      <c r="L9" s="266" t="str">
        <f>'Step2-Energy'!L9</f>
        <v>5.1.4</v>
      </c>
    </row>
    <row r="10" spans="1:12" ht="15.75" customHeight="1">
      <c r="A10" s="266" t="str">
        <f>'Step2-Energy'!A10</f>
        <v>Use of pipeline gas (consumer quality)</v>
      </c>
      <c r="B10" s="272" t="str">
        <f>IF(OR('Step2-Energy'!B10=yes,'Step2-Energy'!B10=no,'Step2-Energy'!B10=que),'Step2-Energy'!B10,pres)</f>
        <v>Present?</v>
      </c>
      <c r="C10" s="448">
        <f>'Step2-Energy'!C10</f>
        <v>0</v>
      </c>
      <c r="D10" s="266" t="str">
        <f>'Step2-Energy'!D10</f>
        <v>Gas used, Nm³/y</v>
      </c>
      <c r="E10" s="463" t="str">
        <f>IF('Insert IL2 results'!C17="",'Step2-Energy'!E10,'Insert IL2 results'!C17)</f>
        <v>Present?</v>
      </c>
      <c r="F10" s="449" t="str">
        <f>IF('Insert IL2 results'!D17="",'Step2-Energy'!F10,'Insert IL2 results'!D17)</f>
        <v>Present?</v>
      </c>
      <c r="G10" s="449" t="str">
        <f>IF('Insert IL2 results'!E17="",'Step2-Energy'!G10,'Insert IL2 results'!E17)</f>
        <v>Present?</v>
      </c>
      <c r="H10" s="449" t="str">
        <f>IF('Insert IL2 results'!F17="",'Step2-Energy'!H10,'Insert IL2 results'!F17)</f>
        <v>Present?</v>
      </c>
      <c r="I10" s="449" t="str">
        <f>IF('Insert IL2 results'!G17="",'Step2-Energy'!I10,'Insert IL2 results'!G17)</f>
        <v>Present?</v>
      </c>
      <c r="J10" s="449" t="str">
        <f>IF('Insert IL2 results'!H17="",'Step2-Energy'!J10,'Insert IL2 results'!H17)</f>
        <v>Present?</v>
      </c>
      <c r="K10" s="449" t="str">
        <f>IF('Insert IL2 results'!I17="",'Step2-Energy'!K10,'Insert IL2 results'!I17)</f>
        <v>Present?</v>
      </c>
      <c r="L10" s="266" t="str">
        <f>'Step2-Energy'!L10</f>
        <v>5.1.4</v>
      </c>
    </row>
    <row r="11" spans="1:12" ht="12.75">
      <c r="A11" s="266" t="str">
        <f>'Step2-Energy'!A11</f>
        <v>Biomass fired power and heat production</v>
      </c>
      <c r="B11" s="272" t="str">
        <f>IF(OR('Step2-Energy'!B11=yes,'Step2-Energy'!B11=no,'Step2-Energy'!B11=que),'Step2-Energy'!B11,pres)</f>
        <v>Present?</v>
      </c>
      <c r="C11" s="448">
        <f>'Step2-Energy'!C11</f>
        <v>0</v>
      </c>
      <c r="D11" s="266" t="str">
        <f>'Step2-Energy'!D11</f>
        <v>Biomass combusted, t/y</v>
      </c>
      <c r="E11" s="463" t="str">
        <f>IF('Insert IL2 results'!C18="",'Step2-Energy'!E11,'Insert IL2 results'!C18)</f>
        <v>Present?</v>
      </c>
      <c r="F11" s="449" t="str">
        <f>IF('Insert IL2 results'!D18="",'Step2-Energy'!F11,'Insert IL2 results'!D18)</f>
        <v>Present?</v>
      </c>
      <c r="G11" s="449" t="str">
        <f>IF('Insert IL2 results'!E18="",'Step2-Energy'!G11,'Insert IL2 results'!E18)</f>
        <v>Present?</v>
      </c>
      <c r="H11" s="449" t="str">
        <f>IF('Insert IL2 results'!F18="",'Step2-Energy'!H11,'Insert IL2 results'!F18)</f>
        <v>Present?</v>
      </c>
      <c r="I11" s="449" t="str">
        <f>IF('Insert IL2 results'!G18="",'Step2-Energy'!I11,'Insert IL2 results'!G18)</f>
        <v>Present?</v>
      </c>
      <c r="J11" s="449" t="str">
        <f>IF('Insert IL2 results'!H18="",'Step2-Energy'!J11,'Insert IL2 results'!H18)</f>
        <v>Present?</v>
      </c>
      <c r="K11" s="449" t="str">
        <f>IF('Insert IL2 results'!I18="",'Step2-Energy'!K11,'Insert IL2 results'!I18)</f>
        <v>Present?</v>
      </c>
      <c r="L11" s="266" t="str">
        <f>'Step2-Energy'!L11</f>
        <v>5.1.6</v>
      </c>
    </row>
    <row r="12" spans="1:12" ht="12.75">
      <c r="A12" s="266" t="str">
        <f>'Step2-Energy'!A12</f>
        <v>Charcoal combustion</v>
      </c>
      <c r="B12" s="272" t="str">
        <f>IF(OR('Step2-Energy'!B12=yes,'Step2-Energy'!B12=no,'Step2-Energy'!B12=que),'Step2-Energy'!B12,pres)</f>
        <v>Present?</v>
      </c>
      <c r="C12" s="448">
        <f>'Step2-Energy'!C12</f>
        <v>0</v>
      </c>
      <c r="D12" s="266" t="str">
        <f>'Step2-Energy'!D12</f>
        <v>Charcoal combusted, t/y</v>
      </c>
      <c r="E12" s="463" t="str">
        <f>IF('Insert IL2 results'!C19="",'Step2-Energy'!E12,'Insert IL2 results'!C19)</f>
        <v>Present?</v>
      </c>
      <c r="F12" s="449" t="str">
        <f>IF('Insert IL2 results'!D19="",'Step2-Energy'!F12,'Insert IL2 results'!D19)</f>
        <v>Present?</v>
      </c>
      <c r="G12" s="449" t="str">
        <f>IF('Insert IL2 results'!E19="",'Step2-Energy'!G12,'Insert IL2 results'!E19)</f>
        <v>Present?</v>
      </c>
      <c r="H12" s="449" t="str">
        <f>IF('Insert IL2 results'!F19="",'Step2-Energy'!H12,'Insert IL2 results'!F19)</f>
        <v>Present?</v>
      </c>
      <c r="I12" s="449" t="str">
        <f>IF('Insert IL2 results'!G19="",'Step2-Energy'!I12,'Insert IL2 results'!G19)</f>
        <v>Present?</v>
      </c>
      <c r="J12" s="449" t="str">
        <f>IF('Insert IL2 results'!H19="",'Step2-Energy'!J12,'Insert IL2 results'!H19)</f>
        <v>Present?</v>
      </c>
      <c r="K12" s="449" t="str">
        <f>IF('Insert IL2 results'!I19="",'Step2-Energy'!K12,'Insert IL2 results'!I19)</f>
        <v>Present?</v>
      </c>
      <c r="L12" s="266" t="str">
        <f>'Step2-Energy'!L12</f>
        <v>5.1.6</v>
      </c>
    </row>
    <row r="13" spans="1:12" ht="12.75">
      <c r="A13" s="408" t="str">
        <f>'Step2-Energy'!A14</f>
        <v>Fuel production</v>
      </c>
      <c r="B13" s="308"/>
      <c r="C13" s="446"/>
      <c r="D13" s="380"/>
      <c r="E13" s="380"/>
      <c r="F13" s="380"/>
      <c r="G13" s="447"/>
      <c r="H13" s="447"/>
      <c r="I13" s="447"/>
      <c r="J13" s="447"/>
      <c r="K13" s="447"/>
      <c r="L13" s="380"/>
    </row>
    <row r="14" spans="1:12" ht="12.75">
      <c r="A14" s="266" t="str">
        <f>'Step2-Energy'!A15</f>
        <v>Oil extraction</v>
      </c>
      <c r="B14" s="272" t="str">
        <f>IF(OR('Step2-Energy'!B15=yes,'Step2-Energy'!B15=no,'Step2-Energy'!B15=que),'Step2-Energy'!B15,pres)</f>
        <v>Present?</v>
      </c>
      <c r="C14" s="448">
        <f>'Step2-Energy'!C15</f>
        <v>0</v>
      </c>
      <c r="D14" s="266" t="str">
        <f>'Step2-Energy'!D15</f>
        <v>Crude oil produced, t/y</v>
      </c>
      <c r="E14" s="463" t="str">
        <f>IF('Insert IL2 results'!C21="",'Step2-Energy'!E15,'Insert IL2 results'!C21)</f>
        <v>Present?</v>
      </c>
      <c r="F14" s="449" t="str">
        <f>IF('Insert IL2 results'!D21="",'Step2-Energy'!F15,'Insert IL2 results'!D21)</f>
        <v>Present?</v>
      </c>
      <c r="G14" s="449" t="str">
        <f>IF('Insert IL2 results'!E21="",'Step2-Energy'!G15,'Insert IL2 results'!E21)</f>
        <v>Present?</v>
      </c>
      <c r="H14" s="449" t="str">
        <f>IF('Insert IL2 results'!F21="",'Step2-Energy'!H15,'Insert IL2 results'!F21)</f>
        <v>Present?</v>
      </c>
      <c r="I14" s="449" t="str">
        <f>IF('Insert IL2 results'!G21="",'Step2-Energy'!I15,'Insert IL2 results'!G21)</f>
        <v>Present?</v>
      </c>
      <c r="J14" s="449" t="str">
        <f>IF('Insert IL2 results'!H21="",'Step2-Energy'!J15,'Insert IL2 results'!H21)</f>
        <v>Present?</v>
      </c>
      <c r="K14" s="449" t="str">
        <f>IF('Insert IL2 results'!I21="",'Step2-Energy'!K15,'Insert IL2 results'!I21)</f>
        <v>Present?</v>
      </c>
      <c r="L14" s="266" t="str">
        <f>'Step2-Energy'!L15</f>
        <v>5.1.3</v>
      </c>
    </row>
    <row r="15" spans="1:12" ht="12.75">
      <c r="A15" s="266" t="str">
        <f>'Step2-Energy'!A16</f>
        <v>Oil refining</v>
      </c>
      <c r="B15" s="272" t="str">
        <f>IF(OR('Step2-Energy'!B16=yes,'Step2-Energy'!B16=no,'Step2-Energy'!B16=que),'Step2-Energy'!B16,pres)</f>
        <v>Present?</v>
      </c>
      <c r="C15" s="448">
        <f>'Step2-Energy'!C16</f>
        <v>0</v>
      </c>
      <c r="D15" s="266" t="str">
        <f>'Step2-Energy'!D16</f>
        <v>Crude oil refined, t/y</v>
      </c>
      <c r="E15" s="463" t="str">
        <f>IF('Insert IL2 results'!C22="",'Step2-Energy'!E16,'Insert IL2 results'!C22)</f>
        <v>Present?</v>
      </c>
      <c r="F15" s="449" t="str">
        <f>IF('Insert IL2 results'!D22="",'Step2-Energy'!F16,'Insert IL2 results'!D22)</f>
        <v>Present?</v>
      </c>
      <c r="G15" s="449" t="str">
        <f>IF('Insert IL2 results'!E22="",'Step2-Energy'!G16,'Insert IL2 results'!E22)</f>
        <v>Present?</v>
      </c>
      <c r="H15" s="449" t="str">
        <f>IF('Insert IL2 results'!F22="",'Step2-Energy'!H16,'Insert IL2 results'!F22)</f>
        <v>Present?</v>
      </c>
      <c r="I15" s="449" t="str">
        <f>IF('Insert IL2 results'!G22="",'Step2-Energy'!I16,'Insert IL2 results'!G22)</f>
        <v>Present?</v>
      </c>
      <c r="J15" s="449" t="str">
        <f>IF('Insert IL2 results'!H22="",'Step2-Energy'!J16,'Insert IL2 results'!H22)</f>
        <v>Present?</v>
      </c>
      <c r="K15" s="449" t="str">
        <f>IF('Insert IL2 results'!I22="",'Step2-Energy'!K16,'Insert IL2 results'!I22)</f>
        <v>Present?</v>
      </c>
      <c r="L15" s="266" t="str">
        <f>'Step2-Energy'!L16</f>
        <v>5.1.3</v>
      </c>
    </row>
    <row r="16" spans="1:12" ht="12.75">
      <c r="A16" s="266" t="str">
        <f>'Step2-Energy'!A17</f>
        <v>Extraction and processing of natural gas</v>
      </c>
      <c r="B16" s="272" t="str">
        <f>IF(OR('Step2-Energy'!B17=yes,'Step2-Energy'!B17=no,'Step2-Energy'!B17=que),'Step2-Energy'!B17,pres)</f>
        <v>Present?</v>
      </c>
      <c r="C16" s="448">
        <f>'Step2-Energy'!C17</f>
        <v>0</v>
      </c>
      <c r="D16" s="266" t="str">
        <f>'Step2-Energy'!D17</f>
        <v>Gas produced, Nm³/y</v>
      </c>
      <c r="E16" s="463" t="str">
        <f>IF('Insert IL2 results'!C23="",'Step2-Energy'!E17,'Insert IL2 results'!C23)</f>
        <v>Present?</v>
      </c>
      <c r="F16" s="449" t="str">
        <f>IF('Insert IL2 results'!D23="",'Step2-Energy'!F17,'Insert IL2 results'!D23)</f>
        <v>Present?</v>
      </c>
      <c r="G16" s="449" t="str">
        <f>IF('Insert IL2 results'!E23="",'Step2-Energy'!G17,'Insert IL2 results'!E23)</f>
        <v>Present?</v>
      </c>
      <c r="H16" s="449" t="str">
        <f>IF('Insert IL2 results'!F23="",'Step2-Energy'!H17,'Insert IL2 results'!F23)</f>
        <v>Present?</v>
      </c>
      <c r="I16" s="449" t="str">
        <f>IF('Insert IL2 results'!G23="",'Step2-Energy'!I17,'Insert IL2 results'!G23)</f>
        <v>Present?</v>
      </c>
      <c r="J16" s="449" t="str">
        <f>IF('Insert IL2 results'!H23="",'Step2-Energy'!J17,'Insert IL2 results'!H23)</f>
        <v>Present?</v>
      </c>
      <c r="K16" s="449" t="str">
        <f>IF('Insert IL2 results'!I23="",'Step2-Energy'!K17,'Insert IL2 results'!I23)</f>
        <v>Present?</v>
      </c>
      <c r="L16" s="266" t="str">
        <f>'Step2-Energy'!L17</f>
        <v>5.1.4</v>
      </c>
    </row>
    <row r="17" spans="1:12" ht="12.75">
      <c r="A17" s="408" t="str">
        <f>'Step3-Metals-RawMat'!A5</f>
        <v>Primary metal production</v>
      </c>
      <c r="B17" s="308"/>
      <c r="C17" s="446"/>
      <c r="D17" s="380"/>
      <c r="E17" s="380"/>
      <c r="F17" s="447"/>
      <c r="G17" s="447"/>
      <c r="H17" s="447"/>
      <c r="I17" s="447"/>
      <c r="J17" s="447"/>
      <c r="K17" s="447"/>
      <c r="L17" s="380"/>
    </row>
    <row r="18" spans="1:12" ht="12.75">
      <c r="A18" s="266" t="str">
        <f>'Step3-Metals-RawMat'!A6</f>
        <v>Mercury (primary) extraction and initial processing</v>
      </c>
      <c r="B18" s="272" t="str">
        <f>IF(OR('Step3-Metals-RawMat'!B6=yes,'Step3-Metals-RawMat'!B6=no,'Step3-Metals-RawMat'!B6=que),'Step3-Metals-RawMat'!B6,pres)</f>
        <v>Present?</v>
      </c>
      <c r="C18" s="448">
        <f>'Step3-Metals-RawMat'!C6</f>
        <v>0</v>
      </c>
      <c r="D18" s="266" t="str">
        <f>'Step3-Metals-RawMat'!D6</f>
        <v>Mercury produced, t/y</v>
      </c>
      <c r="E18" s="463" t="str">
        <f>IF('Insert IL2 results'!C25="",'Step3-Metals-RawMat'!E6,'Insert IL2 results'!C25)</f>
        <v>Present?</v>
      </c>
      <c r="F18" s="449" t="str">
        <f>IF('Insert IL2 results'!D25="",'Step3-Metals-RawMat'!F6,'Insert IL2 results'!D25)</f>
        <v>Present?</v>
      </c>
      <c r="G18" s="449" t="str">
        <f>IF('Insert IL2 results'!E25="",'Step3-Metals-RawMat'!G6,'Insert IL2 results'!E25)</f>
        <v>Present?</v>
      </c>
      <c r="H18" s="449" t="str">
        <f>IF('Insert IL2 results'!F25="",'Step3-Metals-RawMat'!H6,'Insert IL2 results'!F25)</f>
        <v>Present?</v>
      </c>
      <c r="I18" s="449" t="str">
        <f>IF('Insert IL2 results'!G25="",'Step3-Metals-RawMat'!I6,'Insert IL2 results'!G25)</f>
        <v>Present?</v>
      </c>
      <c r="J18" s="449" t="str">
        <f>IF('Insert IL2 results'!H25="",'Step3-Metals-RawMat'!J6,'Insert IL2 results'!H25)</f>
        <v>Present?</v>
      </c>
      <c r="K18" s="449" t="str">
        <f>IF('Insert IL2 results'!I25="",'Step3-Metals-RawMat'!K6,'Insert IL2 results'!I25)</f>
        <v>Present?</v>
      </c>
      <c r="L18" s="266" t="str">
        <f>'Step3-Metals-RawMat'!L6</f>
        <v>5.2.1</v>
      </c>
    </row>
    <row r="19" spans="1:12" ht="12.75">
      <c r="A19" s="266" t="str">
        <f>'Step3-Metals-RawMat'!A7</f>
        <v>Production of zinc from concentrates</v>
      </c>
      <c r="B19" s="272" t="str">
        <f>IF(OR('Step3-Metals-RawMat'!B7=yes,'Step3-Metals-RawMat'!B7=no,'Step3-Metals-RawMat'!B7=que),'Step3-Metals-RawMat'!B7,pres)</f>
        <v>Present?</v>
      </c>
      <c r="C19" s="448">
        <f>'Step3-Metals-RawMat'!C7</f>
        <v>0</v>
      </c>
      <c r="D19" s="266" t="str">
        <f>'Step3-Metals-RawMat'!D7</f>
        <v>Concentrate used, t/y</v>
      </c>
      <c r="E19" s="463" t="str">
        <f>IF('Insert IL2 results'!C26="",'Step3-Metals-RawMat'!E7,'Insert IL2 results'!C26)</f>
        <v>Present?</v>
      </c>
      <c r="F19" s="449" t="str">
        <f>IF('Insert IL2 results'!D26="",'Step3-Metals-RawMat'!F7,'Insert IL2 results'!D26)</f>
        <v>Present?</v>
      </c>
      <c r="G19" s="449" t="str">
        <f>IF('Insert IL2 results'!E26="",'Step3-Metals-RawMat'!G7,'Insert IL2 results'!E26)</f>
        <v>Present?</v>
      </c>
      <c r="H19" s="449" t="str">
        <f>IF('Insert IL2 results'!F26="",'Step3-Metals-RawMat'!H7,'Insert IL2 results'!F26)</f>
        <v>Present?</v>
      </c>
      <c r="I19" s="449" t="str">
        <f>IF('Insert IL2 results'!G26="",'Step3-Metals-RawMat'!I7,'Insert IL2 results'!G26)</f>
        <v>Present?</v>
      </c>
      <c r="J19" s="449" t="str">
        <f>IF('Insert IL2 results'!H26="",'Step3-Metals-RawMat'!J7,'Insert IL2 results'!H26)</f>
        <v>Present?</v>
      </c>
      <c r="K19" s="449" t="str">
        <f>IF('Insert IL2 results'!I26="",'Step3-Metals-RawMat'!K7,'Insert IL2 results'!I26)</f>
        <v>Present?</v>
      </c>
      <c r="L19" s="266" t="str">
        <f>'Step3-Metals-RawMat'!L7</f>
        <v>5.2.3</v>
      </c>
    </row>
    <row r="20" spans="1:12" ht="12.75">
      <c r="A20" s="266" t="str">
        <f>'Step3-Metals-RawMat'!A8</f>
        <v>Production of copper from concentrates</v>
      </c>
      <c r="B20" s="272" t="str">
        <f>IF(OR('Step3-Metals-RawMat'!B8=yes,'Step3-Metals-RawMat'!B8=no,'Step3-Metals-RawMat'!B8=que),'Step3-Metals-RawMat'!B8,pres)</f>
        <v>Present?</v>
      </c>
      <c r="C20" s="448">
        <f>'Step3-Metals-RawMat'!C8</f>
        <v>0</v>
      </c>
      <c r="D20" s="266" t="str">
        <f>'Step3-Metals-RawMat'!D8</f>
        <v>Concentrate used, t/y</v>
      </c>
      <c r="E20" s="463" t="str">
        <f>IF('Insert IL2 results'!C27="",'Step3-Metals-RawMat'!E8,'Insert IL2 results'!C27)</f>
        <v>Present?</v>
      </c>
      <c r="F20" s="449" t="str">
        <f>IF('Insert IL2 results'!D27="",'Step3-Metals-RawMat'!F8,'Insert IL2 results'!D27)</f>
        <v>Present?</v>
      </c>
      <c r="G20" s="449" t="str">
        <f>IF('Insert IL2 results'!E27="",'Step3-Metals-RawMat'!G8,'Insert IL2 results'!E27)</f>
        <v>Present?</v>
      </c>
      <c r="H20" s="449" t="str">
        <f>IF('Insert IL2 results'!F27="",'Step3-Metals-RawMat'!H8,'Insert IL2 results'!F27)</f>
        <v>Present?</v>
      </c>
      <c r="I20" s="449" t="str">
        <f>IF('Insert IL2 results'!G27="",'Step3-Metals-RawMat'!I8,'Insert IL2 results'!G27)</f>
        <v>Present?</v>
      </c>
      <c r="J20" s="449" t="str">
        <f>IF('Insert IL2 results'!H27="",'Step3-Metals-RawMat'!J8,'Insert IL2 results'!H27)</f>
        <v>Present?</v>
      </c>
      <c r="K20" s="449" t="str">
        <f>IF('Insert IL2 results'!I27="",'Step3-Metals-RawMat'!K8,'Insert IL2 results'!I27)</f>
        <v>Present?</v>
      </c>
      <c r="L20" s="266" t="str">
        <f>'Step3-Metals-RawMat'!L8</f>
        <v>5.2.4</v>
      </c>
    </row>
    <row r="21" spans="1:12" ht="12.75">
      <c r="A21" s="266" t="str">
        <f>'Step3-Metals-RawMat'!A9</f>
        <v>Production of lead from concentrates</v>
      </c>
      <c r="B21" s="272" t="str">
        <f>IF(OR('Step3-Metals-RawMat'!B9=yes,'Step3-Metals-RawMat'!B9=no,'Step3-Metals-RawMat'!B9=que),'Step3-Metals-RawMat'!B9,pres)</f>
        <v>Present?</v>
      </c>
      <c r="C21" s="448">
        <f>'Step3-Metals-RawMat'!C9</f>
        <v>0</v>
      </c>
      <c r="D21" s="266" t="str">
        <f>'Step3-Metals-RawMat'!D9</f>
        <v>Concentrate used, t/y</v>
      </c>
      <c r="E21" s="463" t="str">
        <f>IF('Insert IL2 results'!C28="",'Step3-Metals-RawMat'!E9,'Insert IL2 results'!C28)</f>
        <v>Present?</v>
      </c>
      <c r="F21" s="449" t="str">
        <f>IF('Insert IL2 results'!D28="",'Step3-Metals-RawMat'!F9,'Insert IL2 results'!D28)</f>
        <v>Present?</v>
      </c>
      <c r="G21" s="449" t="str">
        <f>IF('Insert IL2 results'!E28="",'Step3-Metals-RawMat'!G9,'Insert IL2 results'!E28)</f>
        <v>Present?</v>
      </c>
      <c r="H21" s="449" t="str">
        <f>IF('Insert IL2 results'!F28="",'Step3-Metals-RawMat'!H9,'Insert IL2 results'!F28)</f>
        <v>Present?</v>
      </c>
      <c r="I21" s="449" t="str">
        <f>IF('Insert IL2 results'!G28="",'Step3-Metals-RawMat'!I9,'Insert IL2 results'!G28)</f>
        <v>Present?</v>
      </c>
      <c r="J21" s="449" t="str">
        <f>IF('Insert IL2 results'!H28="",'Step3-Metals-RawMat'!J9,'Insert IL2 results'!H28)</f>
        <v>Present?</v>
      </c>
      <c r="K21" s="449" t="str">
        <f>IF('Insert IL2 results'!I28="",'Step3-Metals-RawMat'!K9,'Insert IL2 results'!I28)</f>
        <v>Present?</v>
      </c>
      <c r="L21" s="266" t="str">
        <f>'Step3-Metals-RawMat'!L9</f>
        <v>5.2.5</v>
      </c>
    </row>
    <row r="22" spans="1:12" ht="25.5">
      <c r="A22" s="266" t="str">
        <f>'Step3-Metals-RawMat'!A10</f>
        <v>Gold extraction by methods other than mercury amalgamation</v>
      </c>
      <c r="B22" s="272" t="str">
        <f>IF(OR('Step3-Metals-RawMat'!B10=yes,'Step3-Metals-RawMat'!B10=no,'Step3-Metals-RawMat'!B10=que),'Step3-Metals-RawMat'!B10,pres)</f>
        <v>Present?</v>
      </c>
      <c r="C22" s="448">
        <f>'Step3-Metals-RawMat'!C10</f>
        <v>0</v>
      </c>
      <c r="D22" s="266" t="str">
        <f>'Step3-Metals-RawMat'!D10</f>
        <v>Gold ore used, t/y</v>
      </c>
      <c r="E22" s="463" t="str">
        <f>IF('Insert IL2 results'!C29="",'Step3-Metals-RawMat'!E10,'Insert IL2 results'!C29)</f>
        <v>Present?</v>
      </c>
      <c r="F22" s="449" t="str">
        <f>IF('Insert IL2 results'!D29="",'Step3-Metals-RawMat'!F10,'Insert IL2 results'!D29)</f>
        <v>Present?</v>
      </c>
      <c r="G22" s="449" t="str">
        <f>IF('Insert IL2 results'!E29="",'Step3-Metals-RawMat'!G10,'Insert IL2 results'!E29)</f>
        <v>Present?</v>
      </c>
      <c r="H22" s="449" t="str">
        <f>IF('Insert IL2 results'!F29="",'Step3-Metals-RawMat'!H10,'Insert IL2 results'!F29)</f>
        <v>Present?</v>
      </c>
      <c r="I22" s="449" t="str">
        <f>IF('Insert IL2 results'!G29="",'Step3-Metals-RawMat'!I10,'Insert IL2 results'!G29)</f>
        <v>Present?</v>
      </c>
      <c r="J22" s="449" t="str">
        <f>IF('Insert IL2 results'!H29="",'Step3-Metals-RawMat'!J10,'Insert IL2 results'!H29)</f>
        <v>Present?</v>
      </c>
      <c r="K22" s="449" t="str">
        <f>IF('Insert IL2 results'!I29="",'Step3-Metals-RawMat'!K10,'Insert IL2 results'!I29)</f>
        <v>Present?</v>
      </c>
      <c r="L22" s="266" t="str">
        <f>'Step3-Metals-RawMat'!L10</f>
        <v>5.2.6</v>
      </c>
    </row>
    <row r="23" spans="1:12" ht="16.5" customHeight="1">
      <c r="A23" s="266" t="str">
        <f>'Step3-Metals-RawMat'!A11</f>
        <v>Alumina production from bauxite (aluminium production)</v>
      </c>
      <c r="B23" s="272" t="str">
        <f>IF(OR('Step3-Metals-RawMat'!B11=yes,'Step3-Metals-RawMat'!B11=no,'Step3-Metals-RawMat'!B11=que),'Step3-Metals-RawMat'!B11,pres)</f>
        <v>Present?</v>
      </c>
      <c r="C23" s="448">
        <f>'Step3-Metals-RawMat'!C11</f>
        <v>0</v>
      </c>
      <c r="D23" s="266" t="str">
        <f>'Step3-Metals-RawMat'!D11</f>
        <v>Bauxit processed, t/y</v>
      </c>
      <c r="E23" s="463" t="str">
        <f>IF('Insert IL2 results'!C30="",'Step3-Metals-RawMat'!E11,'Insert IL2 results'!C30)</f>
        <v>Present?</v>
      </c>
      <c r="F23" s="449" t="str">
        <f>IF('Insert IL2 results'!D30="",'Step3-Metals-RawMat'!F11,'Insert IL2 results'!D30)</f>
        <v>Present?</v>
      </c>
      <c r="G23" s="449" t="str">
        <f>IF('Insert IL2 results'!E30="",'Step3-Metals-RawMat'!G11,'Insert IL2 results'!E30)</f>
        <v>Present?</v>
      </c>
      <c r="H23" s="449" t="str">
        <f>IF('Insert IL2 results'!F30="",'Step3-Metals-RawMat'!H11,'Insert IL2 results'!F30)</f>
        <v>Present?</v>
      </c>
      <c r="I23" s="449" t="str">
        <f>IF('Insert IL2 results'!G30="",'Step3-Metals-RawMat'!I11,'Insert IL2 results'!G30)</f>
        <v>Present?</v>
      </c>
      <c r="J23" s="449" t="str">
        <f>IF('Insert IL2 results'!H30="",'Step3-Metals-RawMat'!J11,'Insert IL2 results'!H30)</f>
        <v>Present?</v>
      </c>
      <c r="K23" s="449" t="str">
        <f>IF('Insert IL2 results'!I30="",'Step3-Metals-RawMat'!K11,'Insert IL2 results'!I30)</f>
        <v>Present?</v>
      </c>
      <c r="L23" s="266" t="str">
        <f>'Step3-Metals-RawMat'!L11</f>
        <v>5.2.7</v>
      </c>
    </row>
    <row r="24" spans="1:12" ht="21" customHeight="1">
      <c r="A24" s="266" t="str">
        <f>'Step3-Metals-RawMat'!A12</f>
        <v>Primary ferrous metal production (pig iron production)</v>
      </c>
      <c r="B24" s="272" t="str">
        <f>IF(OR('Step3-Metals-RawMat'!B12=yes,'Step3-Metals-RawMat'!B12=no,'Step3-Metals-RawMat'!B12=que),'Step3-Metals-RawMat'!B12,pres)</f>
        <v>Present?</v>
      </c>
      <c r="C24" s="448">
        <f>'Step3-Metals-RawMat'!C12</f>
        <v>0</v>
      </c>
      <c r="D24" s="266" t="str">
        <f>'Step3-Metals-RawMat'!D12</f>
        <v>Pig iron produced, t/y</v>
      </c>
      <c r="E24" s="463" t="str">
        <f>IF('Insert IL2 results'!C31="",'Step3-Metals-RawMat'!E12,'Insert IL2 results'!C31)</f>
        <v>Present?</v>
      </c>
      <c r="F24" s="449" t="str">
        <f>IF('Insert IL2 results'!D31="",'Step3-Metals-RawMat'!F12,'Insert IL2 results'!D31)</f>
        <v>Present?</v>
      </c>
      <c r="G24" s="449" t="str">
        <f>IF('Insert IL2 results'!E31="",'Step3-Metals-RawMat'!G12,'Insert IL2 results'!E31)</f>
        <v>Present?</v>
      </c>
      <c r="H24" s="449" t="str">
        <f>IF('Insert IL2 results'!F31="",'Step3-Metals-RawMat'!H12,'Insert IL2 results'!F31)</f>
        <v>Present?</v>
      </c>
      <c r="I24" s="449" t="str">
        <f>IF('Insert IL2 results'!G31="",'Step3-Metals-RawMat'!I12,'Insert IL2 results'!G31)</f>
        <v>Present?</v>
      </c>
      <c r="J24" s="449" t="str">
        <f>IF('Insert IL2 results'!H31="",'Step3-Metals-RawMat'!J12,'Insert IL2 results'!H31)</f>
        <v>Present?</v>
      </c>
      <c r="K24" s="449" t="str">
        <f>IF('Insert IL2 results'!I31="",'Step3-Metals-RawMat'!K12,'Insert IL2 results'!I31)</f>
        <v>Present?</v>
      </c>
      <c r="L24" s="266" t="str">
        <f>'Step3-Metals-RawMat'!L12</f>
        <v>5.2.9</v>
      </c>
    </row>
    <row r="25" spans="1:12" ht="25.5">
      <c r="A25" s="266" t="str">
        <f>'Step3-Metals-RawMat'!A13</f>
        <v>Gold extraction with mercury amalgamation - without use of retort</v>
      </c>
      <c r="B25" s="272" t="str">
        <f>IF(OR('Step3-Metals-RawMat'!B13=yes,'Step3-Metals-RawMat'!B13=no,'Step3-Metals-RawMat'!B13=que),'Step3-Metals-RawMat'!B13,pres)</f>
        <v>Present?</v>
      </c>
      <c r="C25" s="448">
        <f>'Step3-Metals-RawMat'!C13</f>
        <v>0</v>
      </c>
      <c r="D25" s="266" t="str">
        <f>'Step3-Metals-RawMat'!D13</f>
        <v>Gold produced, kg/y</v>
      </c>
      <c r="E25" s="463" t="str">
        <f>IF('Insert IL2 results'!C32="",'Step3-Metals-RawMat'!E13,'Insert IL2 results'!C32)</f>
        <v>Present?</v>
      </c>
      <c r="F25" s="449" t="str">
        <f>IF('Insert IL2 results'!D32="",'Step3-Metals-RawMat'!F13,'Insert IL2 results'!D32)</f>
        <v>Present?</v>
      </c>
      <c r="G25" s="449" t="str">
        <f>IF('Insert IL2 results'!E32="",'Step3-Metals-RawMat'!G13,'Insert IL2 results'!E32)</f>
        <v>Present?</v>
      </c>
      <c r="H25" s="449" t="str">
        <f>IF('Insert IL2 results'!F32="",'Step3-Metals-RawMat'!H13,'Insert IL2 results'!F32)</f>
        <v>Present?</v>
      </c>
      <c r="I25" s="449" t="str">
        <f>IF('Insert IL2 results'!G32="",'Step3-Metals-RawMat'!I13,'Insert IL2 results'!G32)</f>
        <v>Present?</v>
      </c>
      <c r="J25" s="449" t="str">
        <f>IF('Insert IL2 results'!H32="",'Step3-Metals-RawMat'!J13,'Insert IL2 results'!H32)</f>
        <v>Present?</v>
      </c>
      <c r="K25" s="449" t="str">
        <f>IF('Insert IL2 results'!I32="",'Step3-Metals-RawMat'!K13,'Insert IL2 results'!I32)</f>
        <v>Present?</v>
      </c>
      <c r="L25" s="266" t="str">
        <f>'Step3-Metals-RawMat'!L13</f>
        <v>5.2.2</v>
      </c>
    </row>
    <row r="26" spans="1:12" ht="25.5">
      <c r="A26" s="266" t="str">
        <f>'Step3-Metals-RawMat'!A14</f>
        <v>Gold extraction with mercury amalgamation - with use of retorts</v>
      </c>
      <c r="B26" s="272" t="str">
        <f>IF(OR('Step3-Metals-RawMat'!B14=yes,'Step3-Metals-RawMat'!B14=no,'Step3-Metals-RawMat'!B14=que),'Step3-Metals-RawMat'!B14,pres)</f>
        <v>Present?</v>
      </c>
      <c r="C26" s="448">
        <f>'Step3-Metals-RawMat'!C14</f>
        <v>0</v>
      </c>
      <c r="D26" s="266" t="str">
        <f>'Step3-Metals-RawMat'!D14</f>
        <v>Gold produced, kg/y</v>
      </c>
      <c r="E26" s="463" t="str">
        <f>IF('Insert IL2 results'!C33="",'Step3-Metals-RawMat'!E14,'Insert IL2 results'!C33)</f>
        <v>Present?</v>
      </c>
      <c r="F26" s="449" t="str">
        <f>IF('Insert IL2 results'!D33="",'Step3-Metals-RawMat'!F14,'Insert IL2 results'!D33)</f>
        <v>Present?</v>
      </c>
      <c r="G26" s="449" t="str">
        <f>IF('Insert IL2 results'!E33="",'Step3-Metals-RawMat'!G14,'Insert IL2 results'!E33)</f>
        <v>Present?</v>
      </c>
      <c r="H26" s="449" t="str">
        <f>IF('Insert IL2 results'!F33="",'Step3-Metals-RawMat'!H14,'Insert IL2 results'!F33)</f>
        <v>Present?</v>
      </c>
      <c r="I26" s="449" t="str">
        <f>IF('Insert IL2 results'!G33="",'Step3-Metals-RawMat'!I14,'Insert IL2 results'!G33)</f>
        <v>Present?</v>
      </c>
      <c r="J26" s="449" t="str">
        <f>IF('Insert IL2 results'!H33="",'Step3-Metals-RawMat'!J14,'Insert IL2 results'!H33)</f>
        <v>Present?</v>
      </c>
      <c r="K26" s="449" t="str">
        <f>IF('Insert IL2 results'!I33="",'Step3-Metals-RawMat'!K14,'Insert IL2 results'!I33)</f>
        <v>Present?</v>
      </c>
      <c r="L26" s="266" t="str">
        <f>'Step3-Metals-RawMat'!L14</f>
        <v>5.2.2</v>
      </c>
    </row>
    <row r="27" spans="1:12" ht="17.25" customHeight="1">
      <c r="A27" s="408" t="str">
        <f>'Step3-Metals-RawMat'!A15</f>
        <v>Other materials production</v>
      </c>
      <c r="B27" s="308"/>
      <c r="C27" s="446"/>
      <c r="D27" s="380"/>
      <c r="E27" s="380"/>
      <c r="F27" s="380"/>
      <c r="G27" s="380"/>
      <c r="H27" s="380"/>
      <c r="I27" s="380"/>
      <c r="J27" s="380"/>
      <c r="K27" s="380"/>
      <c r="L27" s="380"/>
    </row>
    <row r="28" spans="1:12" ht="12.75">
      <c r="A28" s="266" t="str">
        <f>'Step3-Metals-RawMat'!A16</f>
        <v>Cement production</v>
      </c>
      <c r="B28" s="272" t="str">
        <f>IF(OR('Step3-Metals-RawMat'!B16=yes,'Step3-Metals-RawMat'!B16=no,'Step3-Metals-RawMat'!B16=que),'Step3-Metals-RawMat'!B16,pres)</f>
        <v>Present?</v>
      </c>
      <c r="C28" s="448">
        <f>'Step3-Metals-RawMat'!C16</f>
        <v>0</v>
      </c>
      <c r="D28" s="266" t="str">
        <f>'Step3-Metals-RawMat'!D16</f>
        <v>Cement produced, t/y</v>
      </c>
      <c r="E28" s="463" t="str">
        <f>IF('Insert IL2 results'!C35="",'Step3-Metals-RawMat'!E16,'Insert IL2 results'!C35)</f>
        <v>Present?</v>
      </c>
      <c r="F28" s="449" t="str">
        <f>IF('Insert IL2 results'!D35="",'Step3-Metals-RawMat'!F16,'Insert IL2 results'!D35)</f>
        <v>Present?</v>
      </c>
      <c r="G28" s="449" t="str">
        <f>IF('Insert IL2 results'!E35="",'Step3-Metals-RawMat'!G16,'Insert IL2 results'!E35)</f>
        <v>Present?</v>
      </c>
      <c r="H28" s="449" t="str">
        <f>IF('Insert IL2 results'!F35="",'Step3-Metals-RawMat'!H16,'Insert IL2 results'!F35)</f>
        <v>Present?</v>
      </c>
      <c r="I28" s="449" t="str">
        <f>IF('Insert IL2 results'!G35="",'Step3-Metals-RawMat'!I16,'Insert IL2 results'!G35)</f>
        <v>Present?</v>
      </c>
      <c r="J28" s="449" t="str">
        <f>IF('Insert IL2 results'!H35="",'Step3-Metals-RawMat'!J16,'Insert IL2 results'!H35)</f>
        <v>Present?</v>
      </c>
      <c r="K28" s="449" t="str">
        <f>IF('Insert IL2 results'!I35="",'Step3-Metals-RawMat'!K16,'Insert IL2 results'!I35)</f>
        <v>Present?</v>
      </c>
      <c r="L28" s="266" t="str">
        <f>'Step3-Metals-RawMat'!L16</f>
        <v>5.3.1</v>
      </c>
    </row>
    <row r="29" spans="1:12" ht="12.75">
      <c r="A29" s="266" t="str">
        <f>'Step3-Metals-RawMat'!A17</f>
        <v>Pulp and paper production</v>
      </c>
      <c r="B29" s="272" t="str">
        <f>IF(OR('Step3-Metals-RawMat'!B17=yes,'Step3-Metals-RawMat'!B17=no,'Step3-Metals-RawMat'!B17=que),'Step3-Metals-RawMat'!B17,pres)</f>
        <v>Present?</v>
      </c>
      <c r="C29" s="448">
        <f>'Step3-Metals-RawMat'!C17</f>
        <v>0</v>
      </c>
      <c r="D29" s="266" t="str">
        <f>'Step3-Metals-RawMat'!D17</f>
        <v>Biomass used for production, t/y</v>
      </c>
      <c r="E29" s="463" t="str">
        <f>IF('Insert IL2 results'!C36="",'Step3-Metals-RawMat'!E17,'Insert IL2 results'!C36)</f>
        <v>Present?</v>
      </c>
      <c r="F29" s="449" t="str">
        <f>IF('Insert IL2 results'!D36="",'Step3-Metals-RawMat'!F17,'Insert IL2 results'!D36)</f>
        <v>Present?</v>
      </c>
      <c r="G29" s="449" t="str">
        <f>IF('Insert IL2 results'!E36="",'Step3-Metals-RawMat'!G17,'Insert IL2 results'!E36)</f>
        <v>Present?</v>
      </c>
      <c r="H29" s="449" t="str">
        <f>IF('Insert IL2 results'!F36="",'Step3-Metals-RawMat'!H17,'Insert IL2 results'!F36)</f>
        <v>Present?</v>
      </c>
      <c r="I29" s="449" t="str">
        <f>IF('Insert IL2 results'!G36="",'Step3-Metals-RawMat'!I17,'Insert IL2 results'!G36)</f>
        <v>Present?</v>
      </c>
      <c r="J29" s="449" t="str">
        <f>IF('Insert IL2 results'!H36="",'Step3-Metals-RawMat'!J17,'Insert IL2 results'!H36)</f>
        <v>Present?</v>
      </c>
      <c r="K29" s="449" t="str">
        <f>IF('Insert IL2 results'!I36="",'Step3-Metals-RawMat'!K17,'Insert IL2 results'!I36)</f>
        <v>Present?</v>
      </c>
      <c r="L29" s="266" t="str">
        <f>'Step3-Metals-RawMat'!L17</f>
        <v>5.3.2</v>
      </c>
    </row>
    <row r="30" spans="1:12" ht="12.75">
      <c r="A30" s="408" t="str">
        <f>'Step4-Industrial Hg use'!A4</f>
        <v>Production of chemicals</v>
      </c>
      <c r="B30" s="308"/>
      <c r="C30" s="280"/>
      <c r="D30" s="309"/>
      <c r="E30" s="309"/>
      <c r="F30" s="461"/>
      <c r="G30" s="461"/>
      <c r="H30" s="461"/>
      <c r="I30" s="461"/>
      <c r="J30" s="461"/>
      <c r="K30" s="461"/>
      <c r="L30" s="310"/>
    </row>
    <row r="31" spans="1:12" ht="12.75">
      <c r="A31" s="266" t="str">
        <f>'Step4-Industrial Hg use'!A5</f>
        <v>Chlor-alkali production with mercury-cells</v>
      </c>
      <c r="B31" s="272" t="str">
        <f>IF(OR('Step4-Industrial Hg use'!B5=yes,'Step4-Industrial Hg use'!B5=no,'Step4-Industrial Hg use'!B5=que),'Step4-Industrial Hg use'!B5,pres)</f>
        <v>Present?</v>
      </c>
      <c r="C31" s="384">
        <f>'Step4-Industrial Hg use'!C5</f>
        <v>0</v>
      </c>
      <c r="D31" s="277" t="str">
        <f>'Step4-Industrial Hg use'!D5</f>
        <v>Cl2 produced, t/y </v>
      </c>
      <c r="E31" s="463" t="str">
        <f>IF('Insert IL2 results'!C38="",'Step4-Industrial Hg use'!E5,'Insert IL2 results'!C38)</f>
        <v>Present?</v>
      </c>
      <c r="F31" s="449" t="str">
        <f>IF('Insert IL2 results'!D38="",'Step4-Industrial Hg use'!F5,'Insert IL2 results'!D38)</f>
        <v>Present?</v>
      </c>
      <c r="G31" s="449" t="str">
        <f>IF('Insert IL2 results'!E38="",'Step4-Industrial Hg use'!G5,'Insert IL2 results'!E38)</f>
        <v>Present?</v>
      </c>
      <c r="H31" s="449" t="str">
        <f>IF('Insert IL2 results'!F38="",'Step4-Industrial Hg use'!H5,'Insert IL2 results'!F38)</f>
        <v>Present?</v>
      </c>
      <c r="I31" s="449" t="str">
        <f>IF('Insert IL2 results'!G38="",'Step4-Industrial Hg use'!I5,'Insert IL2 results'!G38)</f>
        <v>Present?</v>
      </c>
      <c r="J31" s="449" t="str">
        <f>IF('Insert IL2 results'!H38="",'Step4-Industrial Hg use'!J5,'Insert IL2 results'!H38)</f>
        <v>Present?</v>
      </c>
      <c r="K31" s="449" t="str">
        <f>IF('Insert IL2 results'!I38="",'Step4-Industrial Hg use'!K5,'Insert IL2 results'!I38)</f>
        <v>Present?</v>
      </c>
      <c r="L31" s="276" t="str">
        <f>'Step4-Industrial Hg use'!L5</f>
        <v>5.4.1</v>
      </c>
    </row>
    <row r="32" spans="1:12" ht="12.75">
      <c r="A32" s="266" t="str">
        <f>'Step4-Industrial Hg use'!A6</f>
        <v>VCM production with mercury catalyst</v>
      </c>
      <c r="B32" s="272" t="str">
        <f>IF(OR('Step4-Industrial Hg use'!B6=yes,'Step4-Industrial Hg use'!B6=no,'Step4-Industrial Hg use'!B6=que),'Step4-Industrial Hg use'!B6,pres)</f>
        <v>Present?</v>
      </c>
      <c r="C32" s="384">
        <f>'Step4-Industrial Hg use'!C6</f>
        <v>0</v>
      </c>
      <c r="D32" s="277" t="str">
        <f>'Step4-Industrial Hg use'!D6</f>
        <v>VCM produced, t/y </v>
      </c>
      <c r="E32" s="463" t="str">
        <f>IF('Insert IL2 results'!C39="",'Step4-Industrial Hg use'!E6,'Insert IL2 results'!C39)</f>
        <v>Present?</v>
      </c>
      <c r="F32" s="449" t="str">
        <f>IF('Insert IL2 results'!D39="",'Step4-Industrial Hg use'!F6,'Insert IL2 results'!D39)</f>
        <v>Present?</v>
      </c>
      <c r="G32" s="449" t="str">
        <f>IF('Insert IL2 results'!E39="",'Step4-Industrial Hg use'!G6,'Insert IL2 results'!E39)</f>
        <v>Present?</v>
      </c>
      <c r="H32" s="449" t="str">
        <f>IF('Insert IL2 results'!F39="",'Step4-Industrial Hg use'!H6,'Insert IL2 results'!F39)</f>
        <v>Present?</v>
      </c>
      <c r="I32" s="449" t="str">
        <f>IF('Insert IL2 results'!G39="",'Step4-Industrial Hg use'!I6,'Insert IL2 results'!G39)</f>
        <v>Present?</v>
      </c>
      <c r="J32" s="449" t="str">
        <f>IF('Insert IL2 results'!H39="",'Step4-Industrial Hg use'!J6,'Insert IL2 results'!H39)</f>
        <v>Present?</v>
      </c>
      <c r="K32" s="449" t="str">
        <f>IF('Insert IL2 results'!I39="",'Step4-Industrial Hg use'!K6,'Insert IL2 results'!I39)</f>
        <v>Present?</v>
      </c>
      <c r="L32" s="276" t="str">
        <f>'Step4-Industrial Hg use'!L6</f>
        <v>5.4.2</v>
      </c>
    </row>
    <row r="33" spans="1:12" ht="12.75">
      <c r="A33" s="266" t="str">
        <f>'Step4-Industrial Hg use'!A7</f>
        <v>Acetaldehyde production with mercury catalyst</v>
      </c>
      <c r="B33" s="272" t="str">
        <f>IF(OR('Step4-Industrial Hg use'!B7=yes,'Step4-Industrial Hg use'!B7=no,'Step4-Industrial Hg use'!B7=que),'Step4-Industrial Hg use'!B7,pres)</f>
        <v>Present?</v>
      </c>
      <c r="C33" s="384">
        <f>'Step4-Industrial Hg use'!C7</f>
        <v>0</v>
      </c>
      <c r="D33" s="277" t="str">
        <f>'Step4-Industrial Hg use'!D7</f>
        <v>Acetaldehyde produced, t/y</v>
      </c>
      <c r="E33" s="463" t="str">
        <f>IF('Insert IL2 results'!C40="",'Step4-Industrial Hg use'!E7,'Insert IL2 results'!C40)</f>
        <v>Present?</v>
      </c>
      <c r="F33" s="449" t="str">
        <f>IF('Insert IL2 results'!D40="",'Step4-Industrial Hg use'!F7,'Insert IL2 results'!D40)</f>
        <v>Present?</v>
      </c>
      <c r="G33" s="449" t="str">
        <f>IF('Insert IL2 results'!E40="",'Step4-Industrial Hg use'!G7,'Insert IL2 results'!E40)</f>
        <v>Present?</v>
      </c>
      <c r="H33" s="449" t="str">
        <f>IF('Insert IL2 results'!F40="",'Step4-Industrial Hg use'!H7,'Insert IL2 results'!F40)</f>
        <v>Present?</v>
      </c>
      <c r="I33" s="449" t="str">
        <f>IF('Insert IL2 results'!G40="",'Step4-Industrial Hg use'!I7,'Insert IL2 results'!G40)</f>
        <v>Present?</v>
      </c>
      <c r="J33" s="449" t="str">
        <f>IF('Insert IL2 results'!H40="",'Step4-Industrial Hg use'!J7,'Insert IL2 results'!H40)</f>
        <v>Present?</v>
      </c>
      <c r="K33" s="449" t="str">
        <f>IF('Insert IL2 results'!I40="",'Step4-Industrial Hg use'!K7,'Insert IL2 results'!I40)</f>
        <v>Present?</v>
      </c>
      <c r="L33" s="276" t="str">
        <f>'Step4-Industrial Hg use'!L7</f>
        <v>5.4.3</v>
      </c>
    </row>
    <row r="34" spans="1:12" ht="12.75">
      <c r="A34" s="408" t="s">
        <v>913</v>
      </c>
      <c r="B34" s="308"/>
      <c r="C34" s="280"/>
      <c r="D34" s="309"/>
      <c r="E34" s="309"/>
      <c r="F34" s="461"/>
      <c r="G34" s="461"/>
      <c r="H34" s="461"/>
      <c r="I34" s="461"/>
      <c r="J34" s="461"/>
      <c r="K34" s="461"/>
      <c r="L34" s="310"/>
    </row>
    <row r="35" spans="1:13" ht="12.75">
      <c r="A35" s="266" t="str">
        <f>'Step4-Industrial Hg use'!A10</f>
        <v>Hg thermometers (medical, air, lab, industrial etc.) </v>
      </c>
      <c r="B35" s="272" t="str">
        <f>IF(OR('Step4-Industrial Hg use'!B10=yes,'Step4-Industrial Hg use'!B10=no,'Step4-Industrial Hg use'!B10=que),'Step4-Industrial Hg use'!B10,pres)</f>
        <v>Present?</v>
      </c>
      <c r="C35" s="384">
        <f>'Step4-Industrial Hg use'!C10</f>
        <v>0</v>
      </c>
      <c r="D35" s="277" t="str">
        <f>'Step4-Industrial Hg use'!D10</f>
        <v>Mercury used for production, kg/y</v>
      </c>
      <c r="E35" s="463" t="str">
        <f>IF('Insert IL2 results'!C42="",'Step4-Industrial Hg use'!E10,'Insert IL2 results'!C42)</f>
        <v>Present?</v>
      </c>
      <c r="F35" s="449" t="str">
        <f>IF('Insert IL2 results'!D42="",'Step4-Industrial Hg use'!F10,'Insert IL2 results'!D42)</f>
        <v>Present?</v>
      </c>
      <c r="G35" s="449" t="str">
        <f>IF('Insert IL2 results'!E42="",'Step4-Industrial Hg use'!G10,'Insert IL2 results'!E42)</f>
        <v>Present?</v>
      </c>
      <c r="H35" s="449" t="str">
        <f>IF('Insert IL2 results'!F42="",'Step4-Industrial Hg use'!H10,'Insert IL2 results'!F42)</f>
        <v>Present?</v>
      </c>
      <c r="I35" s="449" t="str">
        <f>IF('Insert IL2 results'!G42="",'Step4-Industrial Hg use'!I10,'Insert IL2 results'!G42)</f>
        <v>Present?</v>
      </c>
      <c r="J35" s="449" t="str">
        <f>IF('Insert IL2 results'!H42="",'Step4-Industrial Hg use'!J10,'Insert IL2 results'!H42)</f>
        <v>Present?</v>
      </c>
      <c r="K35" s="449" t="str">
        <f>IF('Insert IL2 results'!I42="",'Step4-Industrial Hg use'!K10,'Insert IL2 results'!I42)</f>
        <v>Present?</v>
      </c>
      <c r="L35" s="284" t="str">
        <f>'Step4-Industrial Hg use'!L10</f>
        <v>5.5.1</v>
      </c>
      <c r="M35" s="628"/>
    </row>
    <row r="36" spans="1:12" ht="12.75">
      <c r="A36" s="266" t="str">
        <f>'Step4-Industrial Hg use'!A11</f>
        <v>Electrical switches and relays with mercury </v>
      </c>
      <c r="B36" s="272" t="str">
        <f>IF(OR('Step4-Industrial Hg use'!B11=yes,'Step4-Industrial Hg use'!B11=no,'Step4-Industrial Hg use'!B11=que),'Step4-Industrial Hg use'!B11,pres)</f>
        <v>Present?</v>
      </c>
      <c r="C36" s="384">
        <f>'Step4-Industrial Hg use'!C11</f>
        <v>0</v>
      </c>
      <c r="D36" s="277" t="str">
        <f>'Step4-Industrial Hg use'!D11</f>
        <v>Mercury used for production, kg/y</v>
      </c>
      <c r="E36" s="463" t="str">
        <f>IF('Insert IL2 results'!C43="",'Step4-Industrial Hg use'!E11,'Insert IL2 results'!C43)</f>
        <v>Present?</v>
      </c>
      <c r="F36" s="449" t="str">
        <f>IF('Insert IL2 results'!D43="",'Step4-Industrial Hg use'!F11,'Insert IL2 results'!D43)</f>
        <v>Present?</v>
      </c>
      <c r="G36" s="449" t="str">
        <f>IF('Insert IL2 results'!E43="",'Step4-Industrial Hg use'!G11,'Insert IL2 results'!E43)</f>
        <v>Present?</v>
      </c>
      <c r="H36" s="449" t="str">
        <f>IF('Insert IL2 results'!F43="",'Step4-Industrial Hg use'!H11,'Insert IL2 results'!F43)</f>
        <v>Present?</v>
      </c>
      <c r="I36" s="449" t="str">
        <f>IF('Insert IL2 results'!G43="",'Step4-Industrial Hg use'!I11,'Insert IL2 results'!G43)</f>
        <v>Present?</v>
      </c>
      <c r="J36" s="449" t="str">
        <f>IF('Insert IL2 results'!H43="",'Step4-Industrial Hg use'!J11,'Insert IL2 results'!H43)</f>
        <v>Present?</v>
      </c>
      <c r="K36" s="449" t="str">
        <f>IF('Insert IL2 results'!I43="",'Step4-Industrial Hg use'!K11,'Insert IL2 results'!I43)</f>
        <v>Present?</v>
      </c>
      <c r="L36" s="284" t="str">
        <f>'Step4-Industrial Hg use'!L11</f>
        <v>5.5.2</v>
      </c>
    </row>
    <row r="37" spans="1:13" ht="25.5">
      <c r="A37" s="266" t="str">
        <f>'Step4-Industrial Hg use'!A12</f>
        <v>Light sources with mercury (fluorescent, compact, others: see guideline) </v>
      </c>
      <c r="B37" s="272" t="str">
        <f>IF(OR('Step4-Industrial Hg use'!B12=yes,'Step4-Industrial Hg use'!B12=no,'Step4-Industrial Hg use'!B12=que),'Step4-Industrial Hg use'!B12,pres)</f>
        <v>Present?</v>
      </c>
      <c r="C37" s="384">
        <f>'Step4-Industrial Hg use'!C12</f>
        <v>0</v>
      </c>
      <c r="D37" s="277" t="str">
        <f>'Step4-Industrial Hg use'!D12</f>
        <v>Mercury used for production, kg/y</v>
      </c>
      <c r="E37" s="463" t="str">
        <f>IF('Insert IL2 results'!C44="",'Step4-Industrial Hg use'!E12,'Insert IL2 results'!C44)</f>
        <v>Present?</v>
      </c>
      <c r="F37" s="449" t="str">
        <f>IF('Insert IL2 results'!D44="",'Step4-Industrial Hg use'!F12,'Insert IL2 results'!D44)</f>
        <v>Present?</v>
      </c>
      <c r="G37" s="449" t="str">
        <f>IF('Insert IL2 results'!E44="",'Step4-Industrial Hg use'!G12,'Insert IL2 results'!E44)</f>
        <v>Present?</v>
      </c>
      <c r="H37" s="449" t="str">
        <f>IF('Insert IL2 results'!F44="",'Step4-Industrial Hg use'!H12,'Insert IL2 results'!F44)</f>
        <v>Present?</v>
      </c>
      <c r="I37" s="449" t="str">
        <f>IF('Insert IL2 results'!G44="",'Step4-Industrial Hg use'!I12,'Insert IL2 results'!G44)</f>
        <v>Present?</v>
      </c>
      <c r="J37" s="449" t="str">
        <f>IF('Insert IL2 results'!H44="",'Step4-Industrial Hg use'!J12,'Insert IL2 results'!H44)</f>
        <v>Present?</v>
      </c>
      <c r="K37" s="449" t="str">
        <f>IF('Insert IL2 results'!I44="",'Step4-Industrial Hg use'!K12,'Insert IL2 results'!I44)</f>
        <v>Present?</v>
      </c>
      <c r="L37" s="284" t="str">
        <f>'Step4-Industrial Hg use'!L12</f>
        <v>5.5.3</v>
      </c>
      <c r="M37" s="624"/>
    </row>
    <row r="38" spans="1:13" ht="12.75">
      <c r="A38" s="266" t="str">
        <f>'Step4-Industrial Hg use'!A13</f>
        <v>Batteries with mercury </v>
      </c>
      <c r="B38" s="272" t="str">
        <f>IF(OR('Step4-Industrial Hg use'!B13=yes,'Step4-Industrial Hg use'!B13=no,'Step4-Industrial Hg use'!B13=que),'Step4-Industrial Hg use'!B13,pres)</f>
        <v>Present?</v>
      </c>
      <c r="C38" s="384">
        <f>'Step4-Industrial Hg use'!C13</f>
        <v>0</v>
      </c>
      <c r="D38" s="277" t="str">
        <f>'Step4-Industrial Hg use'!D13</f>
        <v>Mercury used for production, kg/y</v>
      </c>
      <c r="E38" s="463" t="str">
        <f>IF('Insert IL2 results'!C45="",'Step4-Industrial Hg use'!E13,'Insert IL2 results'!C45)</f>
        <v>Present?</v>
      </c>
      <c r="F38" s="449" t="str">
        <f>IF('Insert IL2 results'!D45="",'Step4-Industrial Hg use'!F13,'Insert IL2 results'!D45)</f>
        <v>Present?</v>
      </c>
      <c r="G38" s="449" t="str">
        <f>IF('Insert IL2 results'!E45="",'Step4-Industrial Hg use'!G13,'Insert IL2 results'!E45)</f>
        <v>Present?</v>
      </c>
      <c r="H38" s="449" t="str">
        <f>IF('Insert IL2 results'!F45="",'Step4-Industrial Hg use'!H13,'Insert IL2 results'!F45)</f>
        <v>Present?</v>
      </c>
      <c r="I38" s="449" t="str">
        <f>IF('Insert IL2 results'!G45="",'Step4-Industrial Hg use'!I13,'Insert IL2 results'!G45)</f>
        <v>Present?</v>
      </c>
      <c r="J38" s="449" t="str">
        <f>IF('Insert IL2 results'!H45="",'Step4-Industrial Hg use'!J13,'Insert IL2 results'!H45)</f>
        <v>Present?</v>
      </c>
      <c r="K38" s="449" t="str">
        <f>IF('Insert IL2 results'!I45="",'Step4-Industrial Hg use'!K13,'Insert IL2 results'!I45)</f>
        <v>Present?</v>
      </c>
      <c r="L38" s="284" t="str">
        <f>'Step4-Industrial Hg use'!L13</f>
        <v>5.5.4</v>
      </c>
      <c r="M38" s="507"/>
    </row>
    <row r="39" spans="1:12" ht="12.75">
      <c r="A39" s="266" t="str">
        <f>'Step4-Industrial Hg use'!A14</f>
        <v>Manometers and gauges with mercury </v>
      </c>
      <c r="B39" s="272" t="str">
        <f>IF(OR('Step4-Industrial Hg use'!B14=yes,'Step4-Industrial Hg use'!B14=no,'Step4-Industrial Hg use'!B14=que),'Step4-Industrial Hg use'!B14,pres)</f>
        <v>Present?</v>
      </c>
      <c r="C39" s="384">
        <f>'Step4-Industrial Hg use'!C14</f>
        <v>0</v>
      </c>
      <c r="D39" s="277" t="str">
        <f>'Step4-Industrial Hg use'!D14</f>
        <v>Mercury used for production, kg/y</v>
      </c>
      <c r="E39" s="463" t="str">
        <f>IF('Insert IL2 results'!C46="",'Step4-Industrial Hg use'!E14,'Insert IL2 results'!C46)</f>
        <v>Present?</v>
      </c>
      <c r="F39" s="449" t="str">
        <f>IF('Insert IL2 results'!D46="",'Step4-Industrial Hg use'!F14,'Insert IL2 results'!D46)</f>
        <v>Present?</v>
      </c>
      <c r="G39" s="449" t="str">
        <f>IF('Insert IL2 results'!E46="",'Step4-Industrial Hg use'!G14,'Insert IL2 results'!E46)</f>
        <v>Present?</v>
      </c>
      <c r="H39" s="449" t="str">
        <f>IF('Insert IL2 results'!F46="",'Step4-Industrial Hg use'!H14,'Insert IL2 results'!F46)</f>
        <v>Present?</v>
      </c>
      <c r="I39" s="449" t="str">
        <f>IF('Insert IL2 results'!G46="",'Step4-Industrial Hg use'!I14,'Insert IL2 results'!G46)</f>
        <v>Present?</v>
      </c>
      <c r="J39" s="449" t="str">
        <f>IF('Insert IL2 results'!H46="",'Step4-Industrial Hg use'!J14,'Insert IL2 results'!H46)</f>
        <v>Present?</v>
      </c>
      <c r="K39" s="449" t="str">
        <f>IF('Insert IL2 results'!I46="",'Step4-Industrial Hg use'!K14,'Insert IL2 results'!I46)</f>
        <v>Present?</v>
      </c>
      <c r="L39" s="276" t="str">
        <f>'Step4-Industrial Hg use'!L14</f>
        <v>5.6.2</v>
      </c>
    </row>
    <row r="40" spans="1:12" ht="12.75">
      <c r="A40" s="266" t="str">
        <f>'Step4-Industrial Hg use'!A15</f>
        <v>Biocides and pesticides with mercury </v>
      </c>
      <c r="B40" s="272" t="str">
        <f>IF(OR('Step4-Industrial Hg use'!B15=yes,'Step4-Industrial Hg use'!B15=no,'Step4-Industrial Hg use'!B15=que),'Step4-Industrial Hg use'!B15,pres)</f>
        <v>Present?</v>
      </c>
      <c r="C40" s="384">
        <f>'Step4-Industrial Hg use'!C15</f>
        <v>0</v>
      </c>
      <c r="D40" s="277" t="str">
        <f>'Step4-Industrial Hg use'!D15</f>
        <v>Mercury used for production, kg/y</v>
      </c>
      <c r="E40" s="463" t="str">
        <f>IF('Insert IL2 results'!C47="",'Step4-Industrial Hg use'!E15,'Insert IL2 results'!C47)</f>
        <v>Present?</v>
      </c>
      <c r="F40" s="449" t="str">
        <f>IF('Insert IL2 results'!D47="",'Step4-Industrial Hg use'!F15,'Insert IL2 results'!D47)</f>
        <v>Present?</v>
      </c>
      <c r="G40" s="449" t="str">
        <f>IF('Insert IL2 results'!E47="",'Step4-Industrial Hg use'!G15,'Insert IL2 results'!E47)</f>
        <v>Present?</v>
      </c>
      <c r="H40" s="449" t="str">
        <f>IF('Insert IL2 results'!F47="",'Step4-Industrial Hg use'!H15,'Insert IL2 results'!F47)</f>
        <v>Present?</v>
      </c>
      <c r="I40" s="449" t="str">
        <f>IF('Insert IL2 results'!G47="",'Step4-Industrial Hg use'!I15,'Insert IL2 results'!G47)</f>
        <v>Present?</v>
      </c>
      <c r="J40" s="449" t="str">
        <f>IF('Insert IL2 results'!H47="",'Step4-Industrial Hg use'!J15,'Insert IL2 results'!H47)</f>
        <v>Present?</v>
      </c>
      <c r="K40" s="449" t="str">
        <f>IF('Insert IL2 results'!I47="",'Step4-Industrial Hg use'!K15,'Insert IL2 results'!I47)</f>
        <v>Present?</v>
      </c>
      <c r="L40" s="276" t="str">
        <f>'Step4-Industrial Hg use'!L15</f>
        <v>5.5.5</v>
      </c>
    </row>
    <row r="41" spans="1:12" ht="12.75">
      <c r="A41" s="266" t="str">
        <f>'Step4-Industrial Hg use'!A16</f>
        <v>Paints with mercury </v>
      </c>
      <c r="B41" s="272" t="str">
        <f>IF(OR('Step4-Industrial Hg use'!B16=yes,'Step4-Industrial Hg use'!B16=no,'Step4-Industrial Hg use'!B16=que),'Step4-Industrial Hg use'!B16,pres)</f>
        <v>Present?</v>
      </c>
      <c r="C41" s="384">
        <f>'Step4-Industrial Hg use'!C16</f>
        <v>0</v>
      </c>
      <c r="D41" s="277" t="str">
        <f>'Step4-Industrial Hg use'!D16</f>
        <v>Mercury used for production, kg/y</v>
      </c>
      <c r="E41" s="463" t="str">
        <f>IF('Insert IL2 results'!C48="",'Step4-Industrial Hg use'!E16,'Insert IL2 results'!C48)</f>
        <v>Present?</v>
      </c>
      <c r="F41" s="449" t="str">
        <f>IF('Insert IL2 results'!D48="",'Step4-Industrial Hg use'!F16,'Insert IL2 results'!D48)</f>
        <v>Present?</v>
      </c>
      <c r="G41" s="449" t="str">
        <f>IF('Insert IL2 results'!E48="",'Step4-Industrial Hg use'!G16,'Insert IL2 results'!E48)</f>
        <v>Present?</v>
      </c>
      <c r="H41" s="449" t="str">
        <f>IF('Insert IL2 results'!F48="",'Step4-Industrial Hg use'!H16,'Insert IL2 results'!F48)</f>
        <v>Present?</v>
      </c>
      <c r="I41" s="449" t="str">
        <f>IF('Insert IL2 results'!G48="",'Step4-Industrial Hg use'!I16,'Insert IL2 results'!G48)</f>
        <v>Present?</v>
      </c>
      <c r="J41" s="449" t="str">
        <f>IF('Insert IL2 results'!H48="",'Step4-Industrial Hg use'!J16,'Insert IL2 results'!H48)</f>
        <v>Present?</v>
      </c>
      <c r="K41" s="449" t="str">
        <f>IF('Insert IL2 results'!I48="",'Step4-Industrial Hg use'!K16,'Insert IL2 results'!I48)</f>
        <v>Present?</v>
      </c>
      <c r="L41" s="276" t="str">
        <f>'Step4-Industrial Hg use'!L16</f>
        <v>5.5.6</v>
      </c>
    </row>
    <row r="42" spans="1:12" ht="25.5">
      <c r="A42" s="266" t="str">
        <f>'Step4-Industrial Hg use'!A17</f>
        <v>Skin lightening creams and soaps with mercury chemicals </v>
      </c>
      <c r="B42" s="272" t="str">
        <f>IF(OR('Step4-Industrial Hg use'!B17=yes,'Step4-Industrial Hg use'!B17=no,'Step4-Industrial Hg use'!B17=que),'Step4-Industrial Hg use'!B17,pres)</f>
        <v>Present?</v>
      </c>
      <c r="C42" s="384">
        <f>'Step4-Industrial Hg use'!C17</f>
        <v>0</v>
      </c>
      <c r="D42" s="277" t="str">
        <f>'Step4-Industrial Hg use'!D17</f>
        <v>Mercury used for production, kg/y</v>
      </c>
      <c r="E42" s="463" t="str">
        <f>IF('Insert IL2 results'!C49="",'Step4-Industrial Hg use'!E17,'Insert IL2 results'!C49)</f>
        <v>Present?</v>
      </c>
      <c r="F42" s="449" t="str">
        <f>IF('Insert IL2 results'!D49="",'Step4-Industrial Hg use'!F17,'Insert IL2 results'!D49)</f>
        <v>Present?</v>
      </c>
      <c r="G42" s="449" t="str">
        <f>IF('Insert IL2 results'!E49="",'Step4-Industrial Hg use'!G17,'Insert IL2 results'!E49)</f>
        <v>Present?</v>
      </c>
      <c r="H42" s="449" t="str">
        <f>IF('Insert IL2 results'!F49="",'Step4-Industrial Hg use'!H17,'Insert IL2 results'!F49)</f>
        <v>Present?</v>
      </c>
      <c r="I42" s="449" t="str">
        <f>IF('Insert IL2 results'!G49="",'Step4-Industrial Hg use'!I17,'Insert IL2 results'!G49)</f>
        <v>Present?</v>
      </c>
      <c r="J42" s="449" t="str">
        <f>IF('Insert IL2 results'!H49="",'Step4-Industrial Hg use'!J17,'Insert IL2 results'!H49)</f>
        <v>Present?</v>
      </c>
      <c r="K42" s="449" t="str">
        <f>IF('Insert IL2 results'!I49="",'Step4-Industrial Hg use'!K17,'Insert IL2 results'!I49)</f>
        <v>Present?</v>
      </c>
      <c r="L42" s="276" t="str">
        <f>'Step4-Industrial Hg use'!L17</f>
        <v>5.5.7</v>
      </c>
    </row>
    <row r="43" spans="1:12" ht="16.5" customHeight="1">
      <c r="A43" s="408" t="str">
        <f>'Step6-Hg products-substances'!A6</f>
        <v>Use and disposal of products with mercury content</v>
      </c>
      <c r="B43" s="308"/>
      <c r="C43" s="280"/>
      <c r="D43" s="309"/>
      <c r="E43" s="309"/>
      <c r="F43" s="461"/>
      <c r="G43" s="461"/>
      <c r="H43" s="461"/>
      <c r="I43" s="461"/>
      <c r="J43" s="461"/>
      <c r="K43" s="461"/>
      <c r="L43" s="310"/>
    </row>
    <row r="44" spans="1:12" ht="12.75">
      <c r="A44" s="266" t="str">
        <f>'Step6-Hg products-substances'!A7</f>
        <v>Dental amalgam fillings ("silver" fillings)</v>
      </c>
      <c r="B44" s="272" t="str">
        <f>IF(OR('Step6-Hg products-substances'!B7=yes,'Step6-Hg products-substances'!B7=no,'Step6-Hg products-substances'!B7=que),'Step6-Hg products-substances'!B7,pres)</f>
        <v>Present?</v>
      </c>
      <c r="C44" s="384">
        <f>'Step6-Hg products-substances'!C8</f>
        <v>0</v>
      </c>
      <c r="D44" s="384" t="str">
        <f>'Step6-Hg products-substances'!D8</f>
        <v>Number of inhabitants</v>
      </c>
      <c r="E44" s="463" t="str">
        <f>IF('Insert IL2 results'!C51="",'Step6-Hg products-substances'!E7,'Insert IL2 results'!C51)</f>
        <v>Present?</v>
      </c>
      <c r="F44" s="449" t="str">
        <f>IF('Insert IL2 results'!D51="",'Step6-Hg products-substances'!F7,'Insert IL2 results'!D51)</f>
        <v>Present?</v>
      </c>
      <c r="G44" s="449" t="str">
        <f>IF('Insert IL2 results'!E51="",'Step6-Hg products-substances'!G7,'Insert IL2 results'!E51)</f>
        <v>Present?</v>
      </c>
      <c r="H44" s="449" t="str">
        <f>IF('Insert IL2 results'!F51="",'Step6-Hg products-substances'!H7,'Insert IL2 results'!F51)</f>
        <v>Present?</v>
      </c>
      <c r="I44" s="449" t="str">
        <f>IF('Insert IL2 results'!G51="",'Step6-Hg products-substances'!I7,'Insert IL2 results'!G51)</f>
        <v>Present?</v>
      </c>
      <c r="J44" s="449" t="str">
        <f>IF('Insert IL2 results'!H51="",'Step6-Hg products-substances'!J7,'Insert IL2 results'!H51)</f>
        <v>Present?</v>
      </c>
      <c r="K44" s="449" t="str">
        <f>IF('Insert IL2 results'!I51="",'Step6-Hg products-substances'!K7,'Insert IL2 results'!I51)</f>
        <v>Present?</v>
      </c>
      <c r="L44" s="276" t="str">
        <f>'Step6-Hg products-substances'!L7</f>
        <v>5.6.1</v>
      </c>
    </row>
    <row r="45" spans="1:13" ht="12.75">
      <c r="A45" s="266" t="str">
        <f>'Step6-Hg products-substances'!A13</f>
        <v>Thermometers</v>
      </c>
      <c r="B45" s="272" t="str">
        <f>IF(OR('Step6-Hg products-substances'!B13=yes,'Step6-Hg products-substances'!B13=no,'Step6-Hg products-substances'!B13=que),'Step6-Hg products-substances'!B13,pres)</f>
        <v>Present?</v>
      </c>
      <c r="C45" s="384">
        <f>'Step6-Hg products-substances'!C13</f>
        <v>0</v>
      </c>
      <c r="D45" s="384" t="str">
        <f>'Step6-Hg products-substances'!D14</f>
        <v>Items sold/y</v>
      </c>
      <c r="E45" s="463" t="str">
        <f>IF('Insert IL2 results'!C52="",'Step6-Hg products-substances'!E13,'Insert IL2 results'!C52)</f>
        <v>Present?</v>
      </c>
      <c r="F45" s="449" t="str">
        <f>IF('Insert IL2 results'!D52="",'Step6-Hg products-substances'!F13,'Insert IL2 results'!D52)</f>
        <v>Present?</v>
      </c>
      <c r="G45" s="449" t="str">
        <f>IF('Insert IL2 results'!E52="",'Step6-Hg products-substances'!G13,'Insert IL2 results'!E52)</f>
        <v>Present?</v>
      </c>
      <c r="H45" s="449" t="str">
        <f>IF('Insert IL2 results'!F52="",'Step6-Hg products-substances'!H13,'Insert IL2 results'!F52)</f>
        <v>Present?</v>
      </c>
      <c r="I45" s="449" t="str">
        <f>IF('Insert IL2 results'!G52="",'Step6-Hg products-substances'!I13,'Insert IL2 results'!G52)</f>
        <v>Present?</v>
      </c>
      <c r="J45" s="449" t="str">
        <f>IF('Insert IL2 results'!H52="",'Step6-Hg products-substances'!J13,'Insert IL2 results'!H52)</f>
        <v>Present?</v>
      </c>
      <c r="K45" s="449" t="str">
        <f>IF('Insert IL2 results'!I52="",'Step6-Hg products-substances'!K13,'Insert IL2 results'!I52)</f>
        <v>Present?</v>
      </c>
      <c r="L45" s="276" t="str">
        <f>'Step6-Hg products-substances'!L13</f>
        <v>5.5.1</v>
      </c>
      <c r="M45" s="624"/>
    </row>
    <row r="46" spans="1:12" ht="25.5">
      <c r="A46" s="266" t="str">
        <f>'Step6-Hg products-substances'!A18</f>
        <v>Electrical switches and relays with mercury</v>
      </c>
      <c r="B46" s="272" t="str">
        <f>IF(OR('Step6-Hg products-substances'!B18=yes,'Step6-Hg products-substances'!B18=no,'Step6-Hg products-substances'!B18=que),'Step6-Hg products-substances'!B18,pres)</f>
        <v>Present?</v>
      </c>
      <c r="C46" s="384">
        <f>'Step6-Hg products-substances'!C18</f>
        <v>0</v>
      </c>
      <c r="D46" s="277" t="str">
        <f>'Step6-Hg products-substances'!D18</f>
        <v>Number of inhabitants</v>
      </c>
      <c r="E46" s="463" t="str">
        <f>IF('Insert IL2 results'!C53="",'Step6-Hg products-substances'!E18,'Insert IL2 results'!C53)</f>
        <v>Present?</v>
      </c>
      <c r="F46" s="449" t="str">
        <f>IF('Insert IL2 results'!D53="",'Step6-Hg products-substances'!F18,'Insert IL2 results'!D53)</f>
        <v>See Step5 F4</v>
      </c>
      <c r="G46" s="449" t="str">
        <f>IF('Insert IL2 results'!E53="",'Step6-Hg products-substances'!G18,'Insert IL2 results'!E53)</f>
        <v>See Step5 F4</v>
      </c>
      <c r="H46" s="449" t="str">
        <f>IF('Insert IL2 results'!F53="",'Step6-Hg products-substances'!H18,'Insert IL2 results'!F53)</f>
        <v>See Step5 F4</v>
      </c>
      <c r="I46" s="449" t="str">
        <f>IF('Insert IL2 results'!G53="",'Step6-Hg products-substances'!I18,'Insert IL2 results'!G53)</f>
        <v>See Step5 F4</v>
      </c>
      <c r="J46" s="449" t="str">
        <f>IF('Insert IL2 results'!H53="",'Step6-Hg products-substances'!J18,'Insert IL2 results'!H53)</f>
        <v>See Step5 F4</v>
      </c>
      <c r="K46" s="449" t="str">
        <f>IF('Insert IL2 results'!I53="",'Step6-Hg products-substances'!K18,'Insert IL2 results'!I53)</f>
        <v>See Step5 F4</v>
      </c>
      <c r="L46" s="276" t="str">
        <f>'Step6-Hg products-substances'!L18</f>
        <v>5.5.2</v>
      </c>
    </row>
    <row r="47" spans="1:12" ht="12.75">
      <c r="A47" s="266" t="str">
        <f>'Step6-Hg products-substances'!A21</f>
        <v>Light sources with mercury</v>
      </c>
      <c r="B47" s="272" t="str">
        <f>IF(OR('Step6-Hg products-substances'!B21=yes,'Step6-Hg products-substances'!B21=no,'Step6-Hg products-substances'!B21=que),'Step6-Hg products-substances'!B21,pres)</f>
        <v>Present?</v>
      </c>
      <c r="C47" s="384">
        <f>'Step6-Hg products-substances'!C21</f>
        <v>0</v>
      </c>
      <c r="D47" s="277" t="str">
        <f>'Step6-Hg products-substances'!D21</f>
        <v>Items sold/y</v>
      </c>
      <c r="E47" s="463" t="str">
        <f>IF('Insert IL2 results'!C54="",'Step6-Hg products-substances'!E21,'Insert IL2 results'!C54)</f>
        <v>Present?</v>
      </c>
      <c r="F47" s="449" t="str">
        <f>IF('Insert IL2 results'!D54="",'Step6-Hg products-substances'!F21,'Insert IL2 results'!D54)</f>
        <v>Present?</v>
      </c>
      <c r="G47" s="449" t="str">
        <f>IF('Insert IL2 results'!E54="",'Step6-Hg products-substances'!G21,'Insert IL2 results'!E54)</f>
        <v>Present?</v>
      </c>
      <c r="H47" s="449" t="str">
        <f>IF('Insert IL2 results'!F54="",'Step6-Hg products-substances'!H21,'Insert IL2 results'!F54)</f>
        <v>Present?</v>
      </c>
      <c r="I47" s="449" t="str">
        <f>IF('Insert IL2 results'!G54="",'Step6-Hg products-substances'!I21,'Insert IL2 results'!G54)</f>
        <v>Present?</v>
      </c>
      <c r="J47" s="449" t="str">
        <f>IF('Insert IL2 results'!H54="",'Step6-Hg products-substances'!J21,'Insert IL2 results'!H54)</f>
        <v>Present?</v>
      </c>
      <c r="K47" s="449" t="str">
        <f>IF('Insert IL2 results'!I54="",'Step6-Hg products-substances'!K21,'Insert IL2 results'!I54)</f>
        <v>Present?</v>
      </c>
      <c r="L47" s="276" t="str">
        <f>'Step6-Hg products-substances'!L21</f>
        <v>5.5.3</v>
      </c>
    </row>
    <row r="48" spans="1:12" ht="12.75">
      <c r="A48" s="376" t="str">
        <f>'Step6-Hg products-substances'!A26</f>
        <v>Batteries with mercury</v>
      </c>
      <c r="B48" s="272" t="str">
        <f>IF(OR('Step6-Hg products-substances'!B26=yes,'Step6-Hg products-substances'!B26=no,'Step6-Hg products-substances'!B26=que),'Step6-Hg products-substances'!B26,pres)</f>
        <v>Present?</v>
      </c>
      <c r="C48" s="384">
        <f>'Step6-Hg products-substances'!C26</f>
        <v>0</v>
      </c>
      <c r="D48" s="277" t="str">
        <f>'Step6-Hg products-substances'!D26</f>
        <v>t batteries sold/y</v>
      </c>
      <c r="E48" s="463" t="str">
        <f>IF('Insert IL2 results'!C55="",'Step6-Hg products-substances'!E26,'Insert IL2 results'!C55)</f>
        <v>Present?</v>
      </c>
      <c r="F48" s="449" t="str">
        <f>IF('Insert IL2 results'!D55="",'Step6-Hg products-substances'!F26,'Insert IL2 results'!D55)</f>
        <v>Present?</v>
      </c>
      <c r="G48" s="449" t="str">
        <f>IF('Insert IL2 results'!E55="",'Step6-Hg products-substances'!G26,'Insert IL2 results'!E55)</f>
        <v>Present?</v>
      </c>
      <c r="H48" s="449" t="str">
        <f>IF('Insert IL2 results'!F55="",'Step6-Hg products-substances'!H26,'Insert IL2 results'!F55)</f>
        <v>Present?</v>
      </c>
      <c r="I48" s="449" t="str">
        <f>IF('Insert IL2 results'!G55="",'Step6-Hg products-substances'!I26,'Insert IL2 results'!G55)</f>
        <v>Present?</v>
      </c>
      <c r="J48" s="449" t="str">
        <f>IF('Insert IL2 results'!H55="",'Step6-Hg products-substances'!J26,'Insert IL2 results'!H55)</f>
        <v>Present?</v>
      </c>
      <c r="K48" s="449" t="str">
        <f>IF('Insert IL2 results'!I55="",'Step6-Hg products-substances'!K26,'Insert IL2 results'!I55)</f>
        <v>Present?</v>
      </c>
      <c r="L48" s="276" t="str">
        <f>'Step6-Hg products-substances'!L26</f>
        <v>5.5.4</v>
      </c>
    </row>
    <row r="49" spans="1:12" ht="25.5">
      <c r="A49" s="266" t="str">
        <f>'Step6-Hg products-substances'!A31</f>
        <v>Polyurethane (PU, PUR) produced with mercury catalyst</v>
      </c>
      <c r="B49" s="272" t="str">
        <f>IF(OR('Step6-Hg products-substances'!B31=yes,'Step6-Hg products-substances'!B31=no,'Step6-Hg products-substances'!B31=que),'Step6-Hg products-substances'!B31,pres)</f>
        <v>Present?</v>
      </c>
      <c r="C49" s="384">
        <f>'Step6-Hg products-substances'!C31</f>
        <v>0</v>
      </c>
      <c r="D49" s="277" t="str">
        <f>'Step6-Hg products-substances'!D31</f>
        <v>Number of inhabitants</v>
      </c>
      <c r="E49" s="463" t="str">
        <f>IF('Insert IL2 results'!C56="",'Step6-Hg products-substances'!E31,'Insert IL2 results'!C56)</f>
        <v>Present?</v>
      </c>
      <c r="F49" s="449" t="str">
        <f>IF('Insert IL2 results'!D56="",'Step6-Hg products-substances'!F31,'Insert IL2 results'!D56)</f>
        <v>See Step5 F4</v>
      </c>
      <c r="G49" s="449" t="str">
        <f>IF('Insert IL2 results'!E56="",'Step6-Hg products-substances'!G31,'Insert IL2 results'!E56)</f>
        <v>See Step5 F4</v>
      </c>
      <c r="H49" s="449" t="str">
        <f>IF('Insert IL2 results'!F56="",'Step6-Hg products-substances'!H31,'Insert IL2 results'!F56)</f>
        <v>See Step5 F4</v>
      </c>
      <c r="I49" s="449" t="str">
        <f>IF('Insert IL2 results'!G56="",'Step6-Hg products-substances'!I31,'Insert IL2 results'!G56)</f>
        <v>See Step5 F4</v>
      </c>
      <c r="J49" s="449" t="str">
        <f>IF('Insert IL2 results'!H56="",'Step6-Hg products-substances'!J31,'Insert IL2 results'!H56)</f>
        <v>See Step5 F4</v>
      </c>
      <c r="K49" s="449" t="str">
        <f>IF('Insert IL2 results'!I56="",'Step6-Hg products-substances'!K31,'Insert IL2 results'!I56)</f>
        <v>See Step5 F4</v>
      </c>
      <c r="L49" s="276" t="str">
        <f>'Step6-Hg products-substances'!L31</f>
        <v>5.5.5.</v>
      </c>
    </row>
    <row r="50" spans="1:12" ht="25.5">
      <c r="A50" s="266" t="str">
        <f>'Step6-Hg products-substances'!A34</f>
        <v>Paints with mercury preservatives</v>
      </c>
      <c r="B50" s="272" t="str">
        <f>IF(OR('Step6-Hg products-substances'!B34=yes,'Step6-Hg products-substances'!B34=no,'Step6-Hg products-substances'!B34=que),'Step6-Hg products-substances'!B34,pres)</f>
        <v>Present?</v>
      </c>
      <c r="C50" s="384">
        <f>'Step6-Hg products-substances'!C34</f>
        <v>0</v>
      </c>
      <c r="D50" s="277" t="str">
        <f>'Step6-Hg products-substances'!D34</f>
        <v>Paint sold, t/y</v>
      </c>
      <c r="E50" s="463" t="str">
        <f>IF('Insert IL2 results'!C57="",'Step6-Hg products-substances'!E34,'Insert IL2 results'!C57)</f>
        <v>Present?</v>
      </c>
      <c r="F50" s="449" t="str">
        <f>IF('Insert IL2 results'!D57="",'Step6-Hg products-substances'!F34,'Insert IL2 results'!D57)</f>
        <v>See Step5 F4</v>
      </c>
      <c r="G50" s="449" t="str">
        <f>IF('Insert IL2 results'!E57="",'Step6-Hg products-substances'!G34,'Insert IL2 results'!E57)</f>
        <v>See Step5 F4</v>
      </c>
      <c r="H50" s="449" t="str">
        <f>IF('Insert IL2 results'!F57="",'Step6-Hg products-substances'!H34,'Insert IL2 results'!F57)</f>
        <v>See Step5 F4</v>
      </c>
      <c r="I50" s="449" t="str">
        <f>IF('Insert IL2 results'!G57="",'Step6-Hg products-substances'!I34,'Insert IL2 results'!G57)</f>
        <v>See Step5 F4</v>
      </c>
      <c r="J50" s="449" t="str">
        <f>IF('Insert IL2 results'!H57="",'Step6-Hg products-substances'!J34,'Insert IL2 results'!H57)</f>
        <v>See Step5 F4</v>
      </c>
      <c r="K50" s="449" t="str">
        <f>IF('Insert IL2 results'!I57="",'Step6-Hg products-substances'!K34,'Insert IL2 results'!I57)</f>
        <v>See Step5 F4</v>
      </c>
      <c r="L50" s="276" t="str">
        <f>'Step6-Hg products-substances'!L34</f>
        <v>5.5.7</v>
      </c>
    </row>
    <row r="51" spans="1:12" ht="25.5">
      <c r="A51" s="266" t="str">
        <f>'Step6-Hg products-substances'!A36</f>
        <v>Skin lightening creams and soaps with mercury chemicals</v>
      </c>
      <c r="B51" s="272" t="str">
        <f>IF(OR('Step6-Hg products-substances'!B36=yes,'Step6-Hg products-substances'!B36=no,'Step6-Hg products-substances'!B36=que),'Step6-Hg products-substances'!B36,pres)</f>
        <v>Present?</v>
      </c>
      <c r="C51" s="384">
        <f>'Step6-Hg products-substances'!C36</f>
        <v>0</v>
      </c>
      <c r="D51" s="277" t="str">
        <f>'Step6-Hg products-substances'!D36</f>
        <v>Cream or soap sold, t/y</v>
      </c>
      <c r="E51" s="463" t="str">
        <f>IF('Insert IL2 results'!C58="",'Step6-Hg products-substances'!E36,'Insert IL2 results'!C58)</f>
        <v>Present?</v>
      </c>
      <c r="F51" s="449" t="str">
        <f>IF('Insert IL2 results'!D58="",'Step6-Hg products-substances'!F36,'Insert IL2 results'!D58)</f>
        <v>See Step5 F4</v>
      </c>
      <c r="G51" s="449" t="str">
        <f>IF('Insert IL2 results'!E58="",'Step6-Hg products-substances'!G36,'Insert IL2 results'!E58)</f>
        <v>See Step5 F4</v>
      </c>
      <c r="H51" s="449" t="str">
        <f>IF('Insert IL2 results'!F58="",'Step6-Hg products-substances'!H36,'Insert IL2 results'!F58)</f>
        <v>See Step5 F4</v>
      </c>
      <c r="I51" s="449" t="str">
        <f>IF('Insert IL2 results'!G58="",'Step6-Hg products-substances'!I36,'Insert IL2 results'!G58)</f>
        <v>See Step5 F4</v>
      </c>
      <c r="J51" s="449" t="str">
        <f>IF('Insert IL2 results'!H58="",'Step6-Hg products-substances'!J36,'Insert IL2 results'!H58)</f>
        <v>See Step5 F4</v>
      </c>
      <c r="K51" s="449" t="str">
        <f>IF('Insert IL2 results'!I58="",'Step6-Hg products-substances'!K36,'Insert IL2 results'!I58)</f>
        <v>See Step5 F4</v>
      </c>
      <c r="L51" s="276" t="str">
        <f>'Step6-Hg products-substances'!L36</f>
        <v>5.5.8</v>
      </c>
    </row>
    <row r="52" spans="1:12" ht="29.25" customHeight="1">
      <c r="A52" s="266" t="str">
        <f>'Step6-Hg products-substances'!A38</f>
        <v>Medical blood pressure gauges (mercury sphygmomanometers)</v>
      </c>
      <c r="B52" s="272" t="str">
        <f>IF(OR('Step6-Hg products-substances'!B38=yes,'Step6-Hg products-substances'!B38=no,'Step6-Hg products-substances'!B38=que),'Step6-Hg products-substances'!B38,pres)</f>
        <v>Present?</v>
      </c>
      <c r="C52" s="384">
        <f>'Step6-Hg products-substances'!C38</f>
        <v>0</v>
      </c>
      <c r="D52" s="277" t="str">
        <f>'Step6-Hg products-substances'!D38</f>
        <v>Items sold/y</v>
      </c>
      <c r="E52" s="463" t="str">
        <f>IF('Insert IL2 results'!C59="",'Step6-Hg products-substances'!E38,'Insert IL2 results'!C59)</f>
        <v>Present?</v>
      </c>
      <c r="F52" s="449" t="str">
        <f>IF('Insert IL2 results'!D59="",'Step6-Hg products-substances'!F38,'Insert IL2 results'!D59)</f>
        <v>See Step5 F4</v>
      </c>
      <c r="G52" s="449" t="str">
        <f>IF('Insert IL2 results'!E59="",'Step6-Hg products-substances'!G38,'Insert IL2 results'!E59)</f>
        <v>See Step5 F4</v>
      </c>
      <c r="H52" s="449" t="str">
        <f>IF('Insert IL2 results'!F59="",'Step6-Hg products-substances'!H38,'Insert IL2 results'!F59)</f>
        <v>See Step5 F4</v>
      </c>
      <c r="I52" s="449" t="str">
        <f>IF('Insert IL2 results'!G59="",'Step6-Hg products-substances'!I38,'Insert IL2 results'!G59)</f>
        <v>See Step5 F4</v>
      </c>
      <c r="J52" s="449" t="str">
        <f>IF('Insert IL2 results'!H59="",'Step6-Hg products-substances'!J38,'Insert IL2 results'!H59)</f>
        <v>See Step5 F4</v>
      </c>
      <c r="K52" s="449" t="str">
        <f>IF('Insert IL2 results'!I59="",'Step6-Hg products-substances'!K38,'Insert IL2 results'!I59)</f>
        <v>See Step5 F4</v>
      </c>
      <c r="L52" s="276" t="str">
        <f>'Step6-Hg products-substances'!L38</f>
        <v>5.6.2</v>
      </c>
    </row>
    <row r="53" spans="1:12" ht="25.5">
      <c r="A53" s="266" t="str">
        <f>'Step6-Hg products-substances'!A40</f>
        <v>Other manometers and gauges with mercury</v>
      </c>
      <c r="B53" s="272" t="str">
        <f>IF(OR('Step6-Hg products-substances'!B40=yes,'Step6-Hg products-substances'!B40=no,'Step6-Hg products-substances'!B40=que),'Step6-Hg products-substances'!B40,pres)</f>
        <v>Present?</v>
      </c>
      <c r="C53" s="384">
        <f>'Step6-Hg products-substances'!C40</f>
        <v>0</v>
      </c>
      <c r="D53" s="277" t="str">
        <f>'Step6-Hg products-substances'!D40</f>
        <v>Number of inhabitants</v>
      </c>
      <c r="E53" s="463" t="str">
        <f>IF('Insert IL2 results'!C60="",'Step6-Hg products-substances'!E40,'Insert IL2 results'!C60)</f>
        <v>Present?</v>
      </c>
      <c r="F53" s="449" t="str">
        <f>IF('Insert IL2 results'!D60="",'Step6-Hg products-substances'!F40,'Insert IL2 results'!D60)</f>
        <v>See Step5 F4</v>
      </c>
      <c r="G53" s="449" t="str">
        <f>IF('Insert IL2 results'!E60="",'Step6-Hg products-substances'!G40,'Insert IL2 results'!E60)</f>
        <v>See Step5 F4</v>
      </c>
      <c r="H53" s="449" t="str">
        <f>IF('Insert IL2 results'!F60="",'Step6-Hg products-substances'!H40,'Insert IL2 results'!F60)</f>
        <v>See Step5 F4</v>
      </c>
      <c r="I53" s="449" t="str">
        <f>IF('Insert IL2 results'!G60="",'Step6-Hg products-substances'!I40,'Insert IL2 results'!G60)</f>
        <v>See Step5 F4</v>
      </c>
      <c r="J53" s="449" t="str">
        <f>IF('Insert IL2 results'!H60="",'Step6-Hg products-substances'!J40,'Insert IL2 results'!H60)</f>
        <v>See Step5 F4</v>
      </c>
      <c r="K53" s="449" t="str">
        <f>IF('Insert IL2 results'!I60="",'Step6-Hg products-substances'!K40,'Insert IL2 results'!I60)</f>
        <v>See Step5 F4</v>
      </c>
      <c r="L53" s="276" t="str">
        <f>'Step6-Hg products-substances'!L40</f>
        <v>5.6.2</v>
      </c>
    </row>
    <row r="54" spans="1:12" ht="25.5">
      <c r="A54" s="266" t="str">
        <f>'Step6-Hg products-substances'!A43</f>
        <v>Laboratory chemicals</v>
      </c>
      <c r="B54" s="272" t="str">
        <f>IF(OR('Step6-Hg products-substances'!B43=yes,'Step6-Hg products-substances'!B43=no,'Step6-Hg products-substances'!B43=que),'Step6-Hg products-substances'!B43,pres)</f>
        <v>Present?</v>
      </c>
      <c r="C54" s="384">
        <f>'Step6-Hg products-substances'!C43</f>
        <v>0</v>
      </c>
      <c r="D54" s="277" t="str">
        <f>'Step6-Hg products-substances'!D43</f>
        <v>Number of inhabitants</v>
      </c>
      <c r="E54" s="463" t="str">
        <f>IF('Insert IL2 results'!C61="",'Step6-Hg products-substances'!E43,'Insert IL2 results'!C61)</f>
        <v>Present?</v>
      </c>
      <c r="F54" s="449" t="str">
        <f>IF('Insert IL2 results'!D61="",'Step6-Hg products-substances'!F43,'Insert IL2 results'!D61)</f>
        <v>See Step5 F4</v>
      </c>
      <c r="G54" s="449" t="str">
        <f>IF('Insert IL2 results'!E61="",'Step6-Hg products-substances'!G43,'Insert IL2 results'!E61)</f>
        <v>See Step5 F4</v>
      </c>
      <c r="H54" s="449" t="str">
        <f>IF('Insert IL2 results'!F61="",'Step6-Hg products-substances'!H43,'Insert IL2 results'!F61)</f>
        <v>See Step5 F4</v>
      </c>
      <c r="I54" s="449" t="str">
        <f>IF('Insert IL2 results'!G61="",'Step6-Hg products-substances'!I43,'Insert IL2 results'!G61)</f>
        <v>See Step5 F4</v>
      </c>
      <c r="J54" s="449" t="str">
        <f>IF('Insert IL2 results'!H61="",'Step6-Hg products-substances'!J43,'Insert IL2 results'!H61)</f>
        <v>See Step5 F4</v>
      </c>
      <c r="K54" s="449" t="str">
        <f>IF('Insert IL2 results'!I61="",'Step6-Hg products-substances'!K43,'Insert IL2 results'!I61)</f>
        <v>See Step5 F4</v>
      </c>
      <c r="L54" s="276" t="str">
        <f>'Step6-Hg products-substances'!L43</f>
        <v>5.6.3</v>
      </c>
    </row>
    <row r="55" spans="1:12" ht="25.5">
      <c r="A55" s="266" t="str">
        <f>'Step6-Hg products-substances'!A46</f>
        <v>Other laboratory and medical equipment with mercury </v>
      </c>
      <c r="B55" s="272" t="str">
        <f>IF(OR('Step6-Hg products-substances'!B46=yes,'Step6-Hg products-substances'!B46=no,'Step6-Hg products-substances'!B46=que),'Step6-Hg products-substances'!B46,pres)</f>
        <v>Present?</v>
      </c>
      <c r="C55" s="384">
        <f>'Step6-Hg products-substances'!C46</f>
        <v>0</v>
      </c>
      <c r="D55" s="277" t="str">
        <f>'Step6-Hg products-substances'!D46</f>
        <v>Number of inhabitants</v>
      </c>
      <c r="E55" s="463" t="str">
        <f>IF('Insert IL2 results'!C62="",'Step6-Hg products-substances'!E46,'Insert IL2 results'!C62)</f>
        <v>Present?</v>
      </c>
      <c r="F55" s="449" t="str">
        <f>IF('Insert IL2 results'!D62="",'Step6-Hg products-substances'!F46,'Insert IL2 results'!D62)</f>
        <v>See Step5 F4</v>
      </c>
      <c r="G55" s="449" t="str">
        <f>IF('Insert IL2 results'!E62="",'Step6-Hg products-substances'!G46,'Insert IL2 results'!E62)</f>
        <v>See Step5 F4</v>
      </c>
      <c r="H55" s="449" t="str">
        <f>IF('Insert IL2 results'!F62="",'Step6-Hg products-substances'!H46,'Insert IL2 results'!F62)</f>
        <v>See Step5 F4</v>
      </c>
      <c r="I55" s="449" t="str">
        <f>IF('Insert IL2 results'!G62="",'Step6-Hg products-substances'!I46,'Insert IL2 results'!G62)</f>
        <v>See Step5 F4</v>
      </c>
      <c r="J55" s="449" t="str">
        <f>IF('Insert IL2 results'!H62="",'Step6-Hg products-substances'!J46,'Insert IL2 results'!H62)</f>
        <v>See Step5 F4</v>
      </c>
      <c r="K55" s="449" t="str">
        <f>IF('Insert IL2 results'!I62="",'Step6-Hg products-substances'!K46,'Insert IL2 results'!I62)</f>
        <v>See Step5 F4</v>
      </c>
      <c r="L55" s="276" t="str">
        <f>'Step6-Hg products-substances'!L46</f>
        <v>5.6.3, 5.6.5</v>
      </c>
    </row>
    <row r="56" spans="1:12" ht="12.75">
      <c r="A56" s="408" t="str">
        <f>'Step5-Waste treatment+recycling'!A8</f>
        <v>Production of recycled of metals</v>
      </c>
      <c r="B56" s="308"/>
      <c r="C56" s="280"/>
      <c r="D56" s="309"/>
      <c r="E56" s="309"/>
      <c r="F56" s="461"/>
      <c r="G56" s="461"/>
      <c r="H56" s="461"/>
      <c r="I56" s="461"/>
      <c r="J56" s="461"/>
      <c r="K56" s="461"/>
      <c r="L56" s="310"/>
    </row>
    <row r="57" spans="1:12" ht="25.5">
      <c r="A57" s="266" t="str">
        <f>'Step5-Waste treatment+recycling'!A9</f>
        <v>Production of recycled mercury ("secondary production”)</v>
      </c>
      <c r="B57" s="272" t="str">
        <f>IF(OR('Step5-Waste treatment+recycling'!B9=yes,'Step5-Waste treatment+recycling'!B9=no,'Step5-Waste treatment+recycling'!B9=que),'Step5-Waste treatment+recycling'!B9,pres)</f>
        <v>Present?</v>
      </c>
      <c r="C57" s="384">
        <f>'Step5-Waste treatment+recycling'!C9</f>
        <v>0</v>
      </c>
      <c r="D57" s="277" t="str">
        <f>'Step5-Waste treatment+recycling'!D9</f>
        <v>Mercury produced, kg/y </v>
      </c>
      <c r="E57" s="463" t="str">
        <f>IF('Insert IL2 results'!C64="",'Step5-Waste treatment+recycling'!E9,'Insert IL2 results'!C64)</f>
        <v>Present?</v>
      </c>
      <c r="F57" s="449" t="str">
        <f>IF('Insert IL2 results'!D64="",'Step5-Waste treatment+recycling'!F9,'Insert IL2 results'!D64)</f>
        <v>Present?</v>
      </c>
      <c r="G57" s="449" t="str">
        <f>IF('Insert IL2 results'!E64="",'Step5-Waste treatment+recycling'!G9,'Insert IL2 results'!E64)</f>
        <v>Present?</v>
      </c>
      <c r="H57" s="449" t="str">
        <f>IF('Insert IL2 results'!F64="",'Step5-Waste treatment+recycling'!H9,'Insert IL2 results'!F64)</f>
        <v>Present?</v>
      </c>
      <c r="I57" s="449" t="str">
        <f>IF('Insert IL2 results'!G64="",'Step5-Waste treatment+recycling'!I9,'Insert IL2 results'!G64)</f>
        <v>Present?</v>
      </c>
      <c r="J57" s="449" t="str">
        <f>IF('Insert IL2 results'!H64="",'Step5-Waste treatment+recycling'!J9,'Insert IL2 results'!H64)</f>
        <v>Present?</v>
      </c>
      <c r="K57" s="449" t="str">
        <f>IF('Insert IL2 results'!I64="",'Step5-Waste treatment+recycling'!K9,'Insert IL2 results'!I64)</f>
        <v>Present?</v>
      </c>
      <c r="L57" s="276" t="str">
        <f>'Step5-Waste treatment+recycling'!L9</f>
        <v>5.7.1</v>
      </c>
    </row>
    <row r="58" spans="1:12" ht="12.75">
      <c r="A58" s="266" t="str">
        <f>'Step5-Waste treatment+recycling'!A10</f>
        <v>Production of recycled ferrous metals (iron and steel)</v>
      </c>
      <c r="B58" s="272" t="str">
        <f>IF(OR('Step5-Waste treatment+recycling'!B10=yes,'Step5-Waste treatment+recycling'!B10=no,'Step5-Waste treatment+recycling'!B10=que),'Step5-Waste treatment+recycling'!B10,pres)</f>
        <v>Present?</v>
      </c>
      <c r="C58" s="384">
        <f>'Step5-Waste treatment+recycling'!C10</f>
        <v>0</v>
      </c>
      <c r="D58" s="277" t="str">
        <f>'Step5-Waste treatment+recycling'!D10</f>
        <v>Number of vehicles recycled/y</v>
      </c>
      <c r="E58" s="463" t="str">
        <f>IF('Insert IL2 results'!C65="",'Step5-Waste treatment+recycling'!E10,'Insert IL2 results'!C65)</f>
        <v>Present?</v>
      </c>
      <c r="F58" s="449" t="str">
        <f>IF('Insert IL2 results'!D65="",'Step5-Waste treatment+recycling'!F10,'Insert IL2 results'!D65)</f>
        <v>Present?</v>
      </c>
      <c r="G58" s="449" t="str">
        <f>IF('Insert IL2 results'!E65="",'Step5-Waste treatment+recycling'!G10,'Insert IL2 results'!E65)</f>
        <v>Present?</v>
      </c>
      <c r="H58" s="449" t="str">
        <f>IF('Insert IL2 results'!F65="",'Step5-Waste treatment+recycling'!H10,'Insert IL2 results'!F65)</f>
        <v>Present?</v>
      </c>
      <c r="I58" s="449" t="str">
        <f>IF('Insert IL2 results'!G65="",'Step5-Waste treatment+recycling'!I10,'Insert IL2 results'!G65)</f>
        <v>Present?</v>
      </c>
      <c r="J58" s="449" t="str">
        <f>IF('Insert IL2 results'!H65="",'Step5-Waste treatment+recycling'!J10,'Insert IL2 results'!H65)</f>
        <v>Present?</v>
      </c>
      <c r="K58" s="449" t="str">
        <f>IF('Insert IL2 results'!I65="",'Step5-Waste treatment+recycling'!K10,'Insert IL2 results'!I65)</f>
        <v>Present?</v>
      </c>
      <c r="L58" s="276" t="str">
        <f>'Step5-Waste treatment+recycling'!L10</f>
        <v>5.7.2</v>
      </c>
    </row>
    <row r="59" spans="1:12" ht="12.75">
      <c r="A59" s="408" t="str">
        <f>'Step5-Waste treatment+recycling'!A12</f>
        <v>Waste incineration</v>
      </c>
      <c r="B59" s="308"/>
      <c r="C59" s="280"/>
      <c r="D59" s="309"/>
      <c r="E59" s="309"/>
      <c r="F59" s="461"/>
      <c r="G59" s="461"/>
      <c r="H59" s="461"/>
      <c r="I59" s="461"/>
      <c r="J59" s="461"/>
      <c r="K59" s="461"/>
      <c r="L59" s="310"/>
    </row>
    <row r="60" spans="1:12" ht="12.75">
      <c r="A60" s="376" t="s">
        <v>586</v>
      </c>
      <c r="B60" s="272" t="str">
        <f>IF(OR('Step5-Waste treatment+recycling'!B13=yes,'Step5-Waste treatment+recycling'!B13=no,'Step5-Waste treatment+recycling'!B13=que),'Step5-Waste treatment+recycling'!B13,pres)</f>
        <v>Present?</v>
      </c>
      <c r="C60" s="384">
        <f>'Step5-Waste treatment+recycling'!C13</f>
        <v>0</v>
      </c>
      <c r="D60" s="277" t="str">
        <f>'Step5-Waste treatment+recycling'!D13</f>
        <v>Waste incinerated, t/y </v>
      </c>
      <c r="E60" s="463" t="str">
        <f>IF('Insert IL2 results'!C67="",'Step5-Waste treatment+recycling'!E13,'Insert IL2 results'!C67)</f>
        <v>Present?</v>
      </c>
      <c r="F60" s="449" t="str">
        <f>IF('Insert IL2 results'!D67="",'Step5-Waste treatment+recycling'!F13,'Insert IL2 results'!D67)</f>
        <v>Present?</v>
      </c>
      <c r="G60" s="449" t="str">
        <f>IF('Insert IL2 results'!E67="",'Step5-Waste treatment+recycling'!G13,'Insert IL2 results'!E67)</f>
        <v>Present?</v>
      </c>
      <c r="H60" s="449" t="str">
        <f>IF('Insert IL2 results'!F67="",'Step5-Waste treatment+recycling'!H13,'Insert IL2 results'!F67)</f>
        <v>Present?</v>
      </c>
      <c r="I60" s="449" t="str">
        <f>IF('Insert IL2 results'!G67="",'Step5-Waste treatment+recycling'!I13,'Insert IL2 results'!G67)</f>
        <v>Present?</v>
      </c>
      <c r="J60" s="449" t="str">
        <f>IF('Insert IL2 results'!H67="",'Step5-Waste treatment+recycling'!J13,'Insert IL2 results'!H67)</f>
        <v>Present?</v>
      </c>
      <c r="K60" s="449" t="str">
        <f>IF('Insert IL2 results'!I67="",'Step5-Waste treatment+recycling'!K13,'Insert IL2 results'!I67)</f>
        <v>Present?</v>
      </c>
      <c r="L60" s="276" t="str">
        <f>'Step5-Waste treatment+recycling'!L13</f>
        <v>5.8.1</v>
      </c>
    </row>
    <row r="61" spans="1:12" ht="12.75">
      <c r="A61" s="376" t="s">
        <v>587</v>
      </c>
      <c r="B61" s="272" t="str">
        <f>IF(OR('Step5-Waste treatment+recycling'!B14=yes,'Step5-Waste treatment+recycling'!B14=no,'Step5-Waste treatment+recycling'!B14=que),'Step5-Waste treatment+recycling'!B14,pres)</f>
        <v>Present?</v>
      </c>
      <c r="C61" s="384">
        <f>'Step5-Waste treatment+recycling'!C14</f>
        <v>0</v>
      </c>
      <c r="D61" s="277" t="str">
        <f>'Step5-Waste treatment+recycling'!D14</f>
        <v>Waste incinerated, t/y</v>
      </c>
      <c r="E61" s="463" t="str">
        <f>IF('Insert IL2 results'!C68="",'Step5-Waste treatment+recycling'!E14,'Insert IL2 results'!C68)</f>
        <v>Present?</v>
      </c>
      <c r="F61" s="449" t="str">
        <f>IF('Insert IL2 results'!D68="",'Step5-Waste treatment+recycling'!F14,'Insert IL2 results'!D68)</f>
        <v>Present?</v>
      </c>
      <c r="G61" s="449" t="str">
        <f>IF('Insert IL2 results'!E68="",'Step5-Waste treatment+recycling'!G14,'Insert IL2 results'!E68)</f>
        <v>Present?</v>
      </c>
      <c r="H61" s="449" t="str">
        <f>IF('Insert IL2 results'!F68="",'Step5-Waste treatment+recycling'!H14,'Insert IL2 results'!F68)</f>
        <v>Present?</v>
      </c>
      <c r="I61" s="449" t="str">
        <f>IF('Insert IL2 results'!G68="",'Step5-Waste treatment+recycling'!I14,'Insert IL2 results'!G68)</f>
        <v>Present?</v>
      </c>
      <c r="J61" s="449" t="str">
        <f>IF('Insert IL2 results'!H68="",'Step5-Waste treatment+recycling'!J14,'Insert IL2 results'!H68)</f>
        <v>Present?</v>
      </c>
      <c r="K61" s="449" t="str">
        <f>IF('Insert IL2 results'!I68="",'Step5-Waste treatment+recycling'!K14,'Insert IL2 results'!I68)</f>
        <v>Present?</v>
      </c>
      <c r="L61" s="276" t="str">
        <f>'Step5-Waste treatment+recycling'!L14</f>
        <v>5.8.2</v>
      </c>
    </row>
    <row r="62" spans="1:12" ht="12.75">
      <c r="A62" s="376" t="s">
        <v>881</v>
      </c>
      <c r="B62" s="272" t="str">
        <f>IF(OR('Step5-Waste treatment+recycling'!B15=yes,'Step5-Waste treatment+recycling'!B15=no,'Step5-Waste treatment+recycling'!B15=que),'Step5-Waste treatment+recycling'!B15,pres)</f>
        <v>Present?</v>
      </c>
      <c r="C62" s="384">
        <f>'Step5-Waste treatment+recycling'!C15</f>
        <v>0</v>
      </c>
      <c r="D62" s="277" t="str">
        <f>'Step5-Waste treatment+recycling'!D15</f>
        <v>Waste incinerated, t/y </v>
      </c>
      <c r="E62" s="463" t="str">
        <f>IF('Insert IL2 results'!C69="",'Step5-Waste treatment+recycling'!E15,'Insert IL2 results'!C69)</f>
        <v>Present?</v>
      </c>
      <c r="F62" s="449" t="str">
        <f>IF('Insert IL2 results'!D69="",'Step5-Waste treatment+recycling'!F15,'Insert IL2 results'!D69)</f>
        <v>Present?</v>
      </c>
      <c r="G62" s="449" t="str">
        <f>IF('Insert IL2 results'!E69="",'Step5-Waste treatment+recycling'!G15,'Insert IL2 results'!E69)</f>
        <v>Present?</v>
      </c>
      <c r="H62" s="449" t="str">
        <f>IF('Insert IL2 results'!F69="",'Step5-Waste treatment+recycling'!H15,'Insert IL2 results'!F69)</f>
        <v>Present?</v>
      </c>
      <c r="I62" s="449" t="str">
        <f>IF('Insert IL2 results'!G69="",'Step5-Waste treatment+recycling'!I15,'Insert IL2 results'!G69)</f>
        <v>Present?</v>
      </c>
      <c r="J62" s="449" t="str">
        <f>IF('Insert IL2 results'!H69="",'Step5-Waste treatment+recycling'!J15,'Insert IL2 results'!H69)</f>
        <v>Present?</v>
      </c>
      <c r="K62" s="449" t="str">
        <f>IF('Insert IL2 results'!I69="",'Step5-Waste treatment+recycling'!K15,'Insert IL2 results'!I69)</f>
        <v>Present?</v>
      </c>
      <c r="L62" s="276" t="str">
        <f>'Step5-Waste treatment+recycling'!L15</f>
        <v>5.8.3</v>
      </c>
    </row>
    <row r="63" spans="1:12" ht="12.75">
      <c r="A63" s="376" t="s">
        <v>589</v>
      </c>
      <c r="B63" s="272" t="str">
        <f>IF(OR('Step5-Waste treatment+recycling'!B16=yes,'Step5-Waste treatment+recycling'!B16=no,'Step5-Waste treatment+recycling'!B16=que),'Step5-Waste treatment+recycling'!B16,pres)</f>
        <v>Present?</v>
      </c>
      <c r="C63" s="384">
        <f>'Step5-Waste treatment+recycling'!C16</f>
        <v>0</v>
      </c>
      <c r="D63" s="277" t="str">
        <f>'Step5-Waste treatment+recycling'!D16</f>
        <v>Waste incinerated, t/y </v>
      </c>
      <c r="E63" s="463" t="str">
        <f>IF('Insert IL2 results'!C70="",'Step5-Waste treatment+recycling'!E16,'Insert IL2 results'!C70)</f>
        <v>Present?</v>
      </c>
      <c r="F63" s="449" t="str">
        <f>IF('Insert IL2 results'!D70="",'Step5-Waste treatment+recycling'!F16,'Insert IL2 results'!D70)</f>
        <v>Present?</v>
      </c>
      <c r="G63" s="449" t="str">
        <f>IF('Insert IL2 results'!E70="",'Step5-Waste treatment+recycling'!G16,'Insert IL2 results'!E70)</f>
        <v>Present?</v>
      </c>
      <c r="H63" s="449" t="str">
        <f>IF('Insert IL2 results'!F70="",'Step5-Waste treatment+recycling'!H16,'Insert IL2 results'!F70)</f>
        <v>Present?</v>
      </c>
      <c r="I63" s="449" t="str">
        <f>IF('Insert IL2 results'!G70="",'Step5-Waste treatment+recycling'!I16,'Insert IL2 results'!G70)</f>
        <v>Present?</v>
      </c>
      <c r="J63" s="449" t="str">
        <f>IF('Insert IL2 results'!H70="",'Step5-Waste treatment+recycling'!J16,'Insert IL2 results'!H70)</f>
        <v>Present?</v>
      </c>
      <c r="K63" s="449" t="str">
        <f>IF('Insert IL2 results'!I70="",'Step5-Waste treatment+recycling'!K16,'Insert IL2 results'!I70)</f>
        <v>Present?</v>
      </c>
      <c r="L63" s="276" t="str">
        <f>'Step5-Waste treatment+recycling'!L16</f>
        <v>5.8.4</v>
      </c>
    </row>
    <row r="64" spans="1:12" ht="12.75">
      <c r="A64" s="376" t="s">
        <v>590</v>
      </c>
      <c r="B64" s="272" t="str">
        <f>IF(OR('Step5-Waste treatment+recycling'!B17=yes,'Step5-Waste treatment+recycling'!B17=no,'Step5-Waste treatment+recycling'!B17=que),'Step5-Waste treatment+recycling'!B17,pres)</f>
        <v>Present?</v>
      </c>
      <c r="C64" s="384">
        <f>'Step5-Waste treatment+recycling'!C17</f>
        <v>0</v>
      </c>
      <c r="D64" s="277" t="str">
        <f>'Step5-Waste treatment+recycling'!D17</f>
        <v>Waste burned, t/y </v>
      </c>
      <c r="E64" s="463" t="str">
        <f>IF('Insert IL2 results'!C71="",'Step5-Waste treatment+recycling'!E17,'Insert IL2 results'!C71)</f>
        <v>Present?</v>
      </c>
      <c r="F64" s="449" t="str">
        <f>IF('Insert IL2 results'!D71="",'Step5-Waste treatment+recycling'!F17,'Insert IL2 results'!D71)</f>
        <v>Present?</v>
      </c>
      <c r="G64" s="449" t="str">
        <f>IF('Insert IL2 results'!E71="",'Step5-Waste treatment+recycling'!G17,'Insert IL2 results'!E71)</f>
        <v>Present?</v>
      </c>
      <c r="H64" s="449" t="str">
        <f>IF('Insert IL2 results'!F71="",'Step5-Waste treatment+recycling'!H17,'Insert IL2 results'!F71)</f>
        <v>Present?</v>
      </c>
      <c r="I64" s="449" t="str">
        <f>IF('Insert IL2 results'!G71="",'Step5-Waste treatment+recycling'!I17,'Insert IL2 results'!G71)</f>
        <v>Present?</v>
      </c>
      <c r="J64" s="449" t="str">
        <f>IF('Insert IL2 results'!H71="",'Step5-Waste treatment+recycling'!J17,'Insert IL2 results'!H71)</f>
        <v>Present?</v>
      </c>
      <c r="K64" s="449" t="str">
        <f>IF('Insert IL2 results'!I71="",'Step5-Waste treatment+recycling'!K17,'Insert IL2 results'!I71)</f>
        <v>Present?</v>
      </c>
      <c r="L64" s="276" t="str">
        <f>'Step5-Waste treatment+recycling'!L17</f>
        <v>5.8.5</v>
      </c>
    </row>
    <row r="65" spans="1:12" ht="25.5">
      <c r="A65" s="408" t="str">
        <f>'Step5-Waste treatment+recycling'!A19</f>
        <v>Waste deposition/landfilling and waste water treatment</v>
      </c>
      <c r="B65" s="308"/>
      <c r="C65" s="280"/>
      <c r="D65" s="309"/>
      <c r="E65" s="309"/>
      <c r="F65" s="461"/>
      <c r="G65" s="461"/>
      <c r="H65" s="461"/>
      <c r="I65" s="461"/>
      <c r="J65" s="461"/>
      <c r="K65" s="461"/>
      <c r="L65" s="310"/>
    </row>
    <row r="66" spans="1:12" ht="12.75">
      <c r="A66" s="376" t="s">
        <v>560</v>
      </c>
      <c r="B66" s="272" t="str">
        <f>IF(OR('Step5-Waste treatment+recycling'!B20=yes,'Step5-Waste treatment+recycling'!B20=no,'Step5-Waste treatment+recycling'!B20=que),'Step5-Waste treatment+recycling'!B20,pres)</f>
        <v>Present?</v>
      </c>
      <c r="C66" s="384">
        <f>'Step5-Waste treatment+recycling'!C20</f>
        <v>0</v>
      </c>
      <c r="D66" s="277" t="str">
        <f>'Step5-Waste treatment+recycling'!D20</f>
        <v>Waste landfilled, t/y</v>
      </c>
      <c r="E66" s="463" t="str">
        <f>IF('Insert IL2 results'!C73="",'Step5-Waste treatment+recycling'!E20,'Insert IL2 results'!C73)</f>
        <v>Present?</v>
      </c>
      <c r="F66" s="449" t="str">
        <f>IF('Insert IL2 results'!D73="",'Step5-Waste treatment+recycling'!F20,'Insert IL2 results'!D73)</f>
        <v>Present?</v>
      </c>
      <c r="G66" s="449" t="str">
        <f>IF('Insert IL2 results'!E73="",'Step5-Waste treatment+recycling'!G20,'Insert IL2 results'!E73)</f>
        <v>Present?</v>
      </c>
      <c r="H66" s="449" t="str">
        <f>IF('Insert IL2 results'!F73="",'Step5-Waste treatment+recycling'!H20,'Insert IL2 results'!F73)</f>
        <v>Present?</v>
      </c>
      <c r="I66" s="449" t="str">
        <f>IF('Insert IL2 results'!G73="",'Step5-Waste treatment+recycling'!I20,'Insert IL2 results'!G73)</f>
        <v>Present?</v>
      </c>
      <c r="J66" s="449" t="str">
        <f>IF('Insert IL2 results'!H73="",'Step5-Waste treatment+recycling'!J20,'Insert IL2 results'!H73)</f>
        <v>Present?</v>
      </c>
      <c r="K66" s="449" t="str">
        <f>IF('Insert IL2 results'!I73="",'Step5-Waste treatment+recycling'!K20,'Insert IL2 results'!I73)</f>
        <v>Present?</v>
      </c>
      <c r="L66" s="276" t="str">
        <f>'Step5-Waste treatment+recycling'!L20</f>
        <v>5.9.1</v>
      </c>
    </row>
    <row r="67" spans="1:15" ht="12.75">
      <c r="A67" s="376" t="s">
        <v>582</v>
      </c>
      <c r="B67" s="272" t="str">
        <f>IF(OR('Step5-Waste treatment+recycling'!B21=yes,'Step5-Waste treatment+recycling'!B21=no,'Step5-Waste treatment+recycling'!B21=que),'Step5-Waste treatment+recycling'!B21,pres)</f>
        <v>Present?</v>
      </c>
      <c r="C67" s="384">
        <f>'Step5-Waste treatment+recycling'!C21</f>
        <v>0</v>
      </c>
      <c r="D67" s="277" t="str">
        <f>'Step5-Waste treatment+recycling'!D21</f>
        <v>Waste dumped, t/y</v>
      </c>
      <c r="E67" s="463" t="str">
        <f>IF('Insert IL2 results'!C74="",'Step5-Waste treatment+recycling'!E21,'Insert IL2 results'!C74)</f>
        <v>Present?</v>
      </c>
      <c r="F67" s="449" t="str">
        <f>IF('Insert IL2 results'!D74="",'Step5-Waste treatment+recycling'!F21,'Insert IL2 results'!D74)</f>
        <v>Present?</v>
      </c>
      <c r="G67" s="449" t="str">
        <f>IF('Insert IL2 results'!E74="",'Step5-Waste treatment+recycling'!G21,'Insert IL2 results'!E74)</f>
        <v>Present?</v>
      </c>
      <c r="H67" s="449" t="str">
        <f>IF('Insert IL2 results'!F74="",'Step5-Waste treatment+recycling'!H21,'Insert IL2 results'!F74)</f>
        <v>Present?</v>
      </c>
      <c r="I67" s="449" t="str">
        <f>IF('Insert IL2 results'!G74="",'Step5-Waste treatment+recycling'!I21,'Insert IL2 results'!G74)</f>
        <v>Present?</v>
      </c>
      <c r="J67" s="449" t="str">
        <f>IF('Insert IL2 results'!H74="",'Step5-Waste treatment+recycling'!J21,'Insert IL2 results'!H74)</f>
        <v>Present?</v>
      </c>
      <c r="K67" s="449" t="str">
        <f>IF('Insert IL2 results'!I74="",'Step5-Waste treatment+recycling'!K21,'Insert IL2 results'!I74)</f>
        <v>Present?</v>
      </c>
      <c r="L67" s="276" t="str">
        <f>'Step5-Waste treatment+recycling'!L21</f>
        <v>5.9.4</v>
      </c>
      <c r="O67" s="346" t="s">
        <v>964</v>
      </c>
    </row>
    <row r="68" spans="1:12" ht="12.75">
      <c r="A68" s="376" t="s">
        <v>559</v>
      </c>
      <c r="B68" s="272" t="str">
        <f>IF(OR('Step5-Waste treatment+recycling'!B23=yes,'Step5-Waste treatment+recycling'!B23=no,'Step5-Waste treatment+recycling'!B23=que),'Step5-Waste treatment+recycling'!B23,pres)</f>
        <v>Present?</v>
      </c>
      <c r="C68" s="384">
        <f>'Step5-Waste treatment+recycling'!C23</f>
        <v>0</v>
      </c>
      <c r="D68" s="277" t="str">
        <f>'Step5-Waste treatment+recycling'!D23</f>
        <v>Waste water, m3/y </v>
      </c>
      <c r="E68" s="463" t="str">
        <f>IF('Insert IL2 results'!C75="",'Step5-Waste treatment+recycling'!E23,'Insert IL2 results'!C75)</f>
        <v>Present?</v>
      </c>
      <c r="F68" s="449" t="str">
        <f>IF('Insert IL2 results'!D75="",'Step5-Waste treatment+recycling'!F23,'Insert IL2 results'!D75)</f>
        <v>Present?</v>
      </c>
      <c r="G68" s="449" t="str">
        <f>IF('Insert IL2 results'!E75="",'Step5-Waste treatment+recycling'!G23,'Insert IL2 results'!E75)</f>
        <v>Present?</v>
      </c>
      <c r="H68" s="449" t="str">
        <f>IF('Insert IL2 results'!F75="",'Step5-Waste treatment+recycling'!H23,'Insert IL2 results'!F75)</f>
        <v>Present?</v>
      </c>
      <c r="I68" s="449" t="str">
        <f>IF('Insert IL2 results'!G75="",'Step5-Waste treatment+recycling'!I23,'Insert IL2 results'!G75)</f>
        <v>Present?</v>
      </c>
      <c r="J68" s="449" t="str">
        <f>IF('Insert IL2 results'!H75="",'Step5-Waste treatment+recycling'!J23,'Insert IL2 results'!H75)</f>
        <v>Present?</v>
      </c>
      <c r="K68" s="449" t="str">
        <f>IF('Insert IL2 results'!I75="",'Step5-Waste treatment+recycling'!K23,'Insert IL2 results'!I75)</f>
        <v>Present?</v>
      </c>
      <c r="L68" s="276" t="str">
        <f>'Step5-Waste treatment+recycling'!L23</f>
        <v>5.9.5</v>
      </c>
    </row>
    <row r="69" spans="1:12" ht="12.75">
      <c r="A69" s="408" t="str">
        <f>'Step7-Crematoria-cemetaries'!A4</f>
        <v>Crematoria and cemeteries</v>
      </c>
      <c r="B69" s="308"/>
      <c r="C69" s="280"/>
      <c r="D69" s="309"/>
      <c r="E69" s="309"/>
      <c r="F69" s="461"/>
      <c r="G69" s="461"/>
      <c r="H69" s="461"/>
      <c r="I69" s="461"/>
      <c r="J69" s="461"/>
      <c r="K69" s="461"/>
      <c r="L69" s="310"/>
    </row>
    <row r="70" spans="1:12" ht="12.75">
      <c r="A70" s="266" t="str">
        <f>'Step7-Crematoria-cemetaries'!A5</f>
        <v>Crematoria</v>
      </c>
      <c r="B70" s="272" t="str">
        <f>IF(OR('Step7-Crematoria-cemetaries'!B5=yes,'Step7-Crematoria-cemetaries'!B5=no,'Step7-Crematoria-cemetaries'!B5=que),'Step7-Crematoria-cemetaries'!B5,pres)</f>
        <v>Present?</v>
      </c>
      <c r="C70" s="384">
        <f>'Step7-Crematoria-cemetaries'!C5</f>
        <v>0</v>
      </c>
      <c r="D70" s="277" t="str">
        <f>'Step7-Crematoria-cemetaries'!D5</f>
        <v>Corpses cremated/y</v>
      </c>
      <c r="E70" s="463" t="str">
        <f>IF('Insert IL2 results'!C77="",'Step7-Crematoria-cemetaries'!E5,'Insert IL2 results'!C77)</f>
        <v>Present?</v>
      </c>
      <c r="F70" s="449" t="str">
        <f>IF('Insert IL2 results'!D77="",'Step7-Crematoria-cemetaries'!F5,'Insert IL2 results'!D77)</f>
        <v>Present?</v>
      </c>
      <c r="G70" s="449" t="str">
        <f>IF('Insert IL2 results'!E77="",'Step7-Crematoria-cemetaries'!G5,'Insert IL2 results'!E77)</f>
        <v>Present?</v>
      </c>
      <c r="H70" s="449" t="str">
        <f>IF('Insert IL2 results'!F77="",'Step7-Crematoria-cemetaries'!H5,'Insert IL2 results'!F77)</f>
        <v>Present?</v>
      </c>
      <c r="I70" s="449" t="str">
        <f>IF('Insert IL2 results'!G77="",'Step7-Crematoria-cemetaries'!I5,'Insert IL2 results'!G77)</f>
        <v>Present?</v>
      </c>
      <c r="J70" s="449" t="str">
        <f>IF('Insert IL2 results'!H77="",'Step7-Crematoria-cemetaries'!J5,'Insert IL2 results'!H77)</f>
        <v>Present?</v>
      </c>
      <c r="K70" s="449" t="str">
        <f>IF('Insert IL2 results'!I77="",'Step7-Crematoria-cemetaries'!K5,'Insert IL2 results'!I77)</f>
        <v>Present?</v>
      </c>
      <c r="L70" s="276" t="str">
        <f>'Step7-Crematoria-cemetaries'!L5</f>
        <v>5.10.1</v>
      </c>
    </row>
    <row r="71" spans="1:12" ht="12.75">
      <c r="A71" s="266" t="str">
        <f>'Step7-Crematoria-cemetaries'!A6</f>
        <v>Cemeteries</v>
      </c>
      <c r="B71" s="272" t="str">
        <f>IF(OR('Step7-Crematoria-cemetaries'!B6=yes,'Step7-Crematoria-cemetaries'!B6=no,'Step7-Crematoria-cemetaries'!B6=que),'Step7-Crematoria-cemetaries'!B6,pres)</f>
        <v>Present?</v>
      </c>
      <c r="C71" s="384">
        <f>'Step7-Crematoria-cemetaries'!C6</f>
        <v>0</v>
      </c>
      <c r="D71" s="277" t="str">
        <f>'Step7-Crematoria-cemetaries'!D6</f>
        <v>Corpses buried/y</v>
      </c>
      <c r="E71" s="463" t="str">
        <f>IF('Insert IL2 results'!C78="",'Step7-Crematoria-cemetaries'!E6,'Insert IL2 results'!C78)</f>
        <v>Present?</v>
      </c>
      <c r="F71" s="449" t="str">
        <f>IF('Insert IL2 results'!D78="",'Step7-Crematoria-cemetaries'!F6,'Insert IL2 results'!D78)</f>
        <v>Present?</v>
      </c>
      <c r="G71" s="449" t="str">
        <f>IF('Insert IL2 results'!E78="",'Step7-Crematoria-cemetaries'!G6,'Insert IL2 results'!E78)</f>
        <v>Present?</v>
      </c>
      <c r="H71" s="449" t="str">
        <f>IF('Insert IL2 results'!F78="",'Step7-Crematoria-cemetaries'!H6,'Insert IL2 results'!F78)</f>
        <v>Present?</v>
      </c>
      <c r="I71" s="449" t="str">
        <f>IF('Insert IL2 results'!G78="",'Step7-Crematoria-cemetaries'!I6,'Insert IL2 results'!G78)</f>
        <v>Present?</v>
      </c>
      <c r="J71" s="449" t="str">
        <f>IF('Insert IL2 results'!H78="",'Step7-Crematoria-cemetaries'!J6,'Insert IL2 results'!H78)</f>
        <v>Present?</v>
      </c>
      <c r="K71" s="449" t="str">
        <f>IF('Insert IL2 results'!I78="",'Step7-Crematoria-cemetaries'!K6,'Insert IL2 results'!I78)</f>
        <v>Present?</v>
      </c>
      <c r="L71" s="276" t="str">
        <f>'Step7-Crematoria-cemetaries'!L6</f>
        <v>5.10.2</v>
      </c>
    </row>
    <row r="72" spans="1:12" s="363" customFormat="1" ht="12.75">
      <c r="A72" s="269" t="s">
        <v>912</v>
      </c>
      <c r="B72" s="450"/>
      <c r="C72" s="384"/>
      <c r="D72" s="383"/>
      <c r="E72" s="452" t="e">
        <f>ROUND(SUM(E5:E71)-(0.9*IF(OR(E60="-",E60=que),0,E60))-(0.9*IF(OR(E61="-",E61=que),0,E61))-(0.9*IF(OR(E62="-",E62=que),0,E62))-(0.9*IF(OR(E63="-",E63=que),0,E63))-(0.9*IF(OR(E64="-",E64=que),0,E64))-(0.9*IF(OR(E66="-",E66=que),0,E66))-(0.9*IF(OR(E67="-",E67=que),0,E67))-IF(OR(E68="-",E68=que),0,E68)+(-IF(OR(E35="-",E35=que),0,E35)+SUM(F35:K35))+(-IF(OR(E36="-",E36=que),0,E36)+SUM(F36:K36))+(-IF(OR(E37="-",E37=que),0,E37)+SUM(F37:K37))+(-IF(OR(E38="-",E38=que),0,E38)+SUM(F38:K38))+(-IF(OR(E39="-",E39=que),0,E39)+SUM(F39:K39))+(-IF(OR(E40="-",E40=que),0,E40)+SUM(F40:K40))+(-IF(OR(E41="-",E41=que),0,E41)+SUM(F41:K41))+(-IF(OR(E42="-",E42=que),0,E42)+SUM(F42:K42))+(-IF(OR(E14="-",E14=que),0,E14)+SUM(F14:K14))+(-IF(OR(E15="-",E15=que),0,E15)+SUM(F15:K15))+(-IF(OR(E16="-",E16=que),0,E16)+SUM(F16:K16)),-1)</f>
        <v>#VALUE!</v>
      </c>
      <c r="F72" s="462">
        <f>ROUND(SUM(F5:F71),-1)</f>
        <v>0</v>
      </c>
      <c r="G72" s="462" t="e">
        <f>ROUND(SUM(G5:G71)-IF(OR(G68="-",G68=que),0,G68),-1)</f>
        <v>#VALUE!</v>
      </c>
      <c r="H72" s="462" t="e">
        <f>ROUND(SUM(H5:H71)-IF(OR(H67="-",H67=que),0,H67),-1)</f>
        <v>#VALUE!</v>
      </c>
      <c r="I72" s="462">
        <f>ROUND(SUM(I5:I71),-1)</f>
        <v>0</v>
      </c>
      <c r="J72" s="462">
        <f>ROUND(SUM(J5:J71),-1)</f>
        <v>0</v>
      </c>
      <c r="K72" s="462">
        <f>ROUND(SUM(K5:K71),-1)</f>
        <v>0</v>
      </c>
      <c r="L72" s="383"/>
    </row>
    <row r="73" spans="1:6" ht="12.75">
      <c r="A73" s="329" t="s">
        <v>56</v>
      </c>
      <c r="B73" s="366"/>
      <c r="E73" s="3"/>
      <c r="F73" s="507"/>
    </row>
    <row r="74" ht="12.75">
      <c r="A74" s="329" t="s">
        <v>585</v>
      </c>
    </row>
    <row r="75" ht="12.75">
      <c r="A75" s="346" t="s">
        <v>557</v>
      </c>
    </row>
    <row r="76" ht="12.75">
      <c r="A76" s="346" t="s">
        <v>578</v>
      </c>
    </row>
    <row r="77" ht="12.75">
      <c r="A77" s="346" t="s">
        <v>558</v>
      </c>
    </row>
    <row r="78" ht="12.75">
      <c r="A78" s="329" t="s">
        <v>579</v>
      </c>
    </row>
    <row r="79" ht="12.75">
      <c r="A79" s="329" t="s">
        <v>561</v>
      </c>
    </row>
    <row r="80" ht="12.75">
      <c r="A80" s="329" t="s">
        <v>565</v>
      </c>
    </row>
    <row r="81" ht="12.75">
      <c r="A81" s="329" t="s">
        <v>930</v>
      </c>
    </row>
  </sheetData>
  <sheetProtection password="83AF" sheet="1"/>
  <mergeCells count="1">
    <mergeCell ref="F2:K2"/>
  </mergeCells>
  <printOptions/>
  <pageMargins left="0.3937007874015748" right="0.3937007874015748" top="0.7480314960629921" bottom="0.7480314960629921" header="0.31496062992125984" footer="0.31496062992125984"/>
  <pageSetup fitToHeight="2" fitToWidth="1" horizontalDpi="600" verticalDpi="600" orientation="landscape" paperSize="9" scale="89" r:id="rId1"/>
  <headerFooter>
    <oddFooter>&amp;L&amp;A
Printed &amp;D</oddFooter>
  </headerFooter>
</worksheet>
</file>

<file path=xl/worksheets/sheet23.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2.75"/>
  <cols>
    <col min="1" max="1" width="96.8515625" style="209" customWidth="1"/>
    <col min="2" max="16384" width="9.140625" style="204" customWidth="1"/>
  </cols>
  <sheetData>
    <row r="1" ht="18">
      <c r="A1" s="211" t="s">
        <v>433</v>
      </c>
    </row>
    <row r="2" ht="63.75">
      <c r="A2" s="205" t="s">
        <v>3</v>
      </c>
    </row>
    <row r="4" ht="25.5">
      <c r="A4" s="205" t="s">
        <v>4</v>
      </c>
    </row>
    <row r="6" ht="25.5">
      <c r="A6" s="205" t="s">
        <v>5</v>
      </c>
    </row>
    <row r="7" ht="12.75">
      <c r="A7" s="205"/>
    </row>
    <row r="8" ht="12.75">
      <c r="A8" s="214" t="s">
        <v>26</v>
      </c>
    </row>
    <row r="9" ht="63.75">
      <c r="A9" s="215" t="s">
        <v>27</v>
      </c>
    </row>
    <row r="10" ht="38.25">
      <c r="A10" s="215" t="s">
        <v>28</v>
      </c>
    </row>
    <row r="12" ht="15.75">
      <c r="A12" s="212" t="s">
        <v>0</v>
      </c>
    </row>
    <row r="13" ht="12.75">
      <c r="A13" s="205" t="s">
        <v>6</v>
      </c>
    </row>
    <row r="15" ht="12.75">
      <c r="A15" s="205" t="s">
        <v>7</v>
      </c>
    </row>
    <row r="17" ht="25.5">
      <c r="A17" s="206" t="s">
        <v>8</v>
      </c>
    </row>
    <row r="19" ht="38.25">
      <c r="A19" s="206" t="s">
        <v>9</v>
      </c>
    </row>
    <row r="20" ht="38.25">
      <c r="A20" s="207" t="s">
        <v>10</v>
      </c>
    </row>
    <row r="22" s="208" customFormat="1" ht="25.5">
      <c r="A22" s="206" t="s">
        <v>11</v>
      </c>
    </row>
    <row r="24" ht="63.75">
      <c r="A24" s="205" t="s">
        <v>12</v>
      </c>
    </row>
    <row r="26" ht="51">
      <c r="A26" s="205" t="s">
        <v>13</v>
      </c>
    </row>
    <row r="28" ht="102">
      <c r="A28" s="205" t="s">
        <v>14</v>
      </c>
    </row>
    <row r="30" ht="63.75">
      <c r="A30" s="205" t="s">
        <v>15</v>
      </c>
    </row>
    <row r="32" ht="63.75">
      <c r="A32" s="205" t="s">
        <v>16</v>
      </c>
    </row>
    <row r="33" ht="102">
      <c r="A33" s="210" t="s">
        <v>2</v>
      </c>
    </row>
    <row r="34" ht="12.75">
      <c r="A34" s="210"/>
    </row>
    <row r="35" ht="102">
      <c r="A35" s="205" t="s">
        <v>17</v>
      </c>
    </row>
    <row r="37" ht="63.75">
      <c r="A37" s="205" t="s">
        <v>18</v>
      </c>
    </row>
    <row r="39" ht="38.25">
      <c r="A39" s="205" t="s">
        <v>19</v>
      </c>
    </row>
    <row r="41" ht="15">
      <c r="A41" s="213" t="s">
        <v>1</v>
      </c>
    </row>
    <row r="42" ht="51">
      <c r="A42" s="205" t="s">
        <v>20</v>
      </c>
    </row>
    <row r="44" ht="76.5">
      <c r="A44" s="205" t="s">
        <v>21</v>
      </c>
    </row>
    <row r="46" ht="63.75">
      <c r="A46" s="205" t="s">
        <v>22</v>
      </c>
    </row>
    <row r="48" ht="63.75">
      <c r="A48" s="205" t="s">
        <v>23</v>
      </c>
    </row>
    <row r="50" ht="51">
      <c r="A50" s="205" t="s">
        <v>24</v>
      </c>
    </row>
    <row r="52" ht="51">
      <c r="A52" s="205" t="s">
        <v>25</v>
      </c>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24.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9.140625" defaultRowHeight="12.75"/>
  <cols>
    <col min="1" max="1" width="4.8515625" style="0" customWidth="1"/>
    <col min="2" max="2" width="7.140625" style="0" customWidth="1"/>
    <col min="3" max="3" width="56.57421875" style="0" customWidth="1"/>
    <col min="4" max="4" width="9.140625" style="44" customWidth="1"/>
    <col min="5" max="5" width="12.7109375" style="0" customWidth="1"/>
    <col min="8" max="8" width="11.00390625" style="0" customWidth="1"/>
    <col min="10" max="10" width="22.28125" style="0" customWidth="1"/>
    <col min="11" max="11" width="109.28125" style="9" customWidth="1"/>
  </cols>
  <sheetData>
    <row r="1" spans="1:12" ht="18">
      <c r="A1" s="1" t="s">
        <v>34</v>
      </c>
      <c r="L1" s="48"/>
    </row>
    <row r="2" spans="1:12" ht="18">
      <c r="A2" s="1" t="s">
        <v>29</v>
      </c>
      <c r="L2" s="48"/>
    </row>
    <row r="3" ht="12.75">
      <c r="A3" t="s">
        <v>30</v>
      </c>
    </row>
    <row r="4" spans="1:3" ht="12.75">
      <c r="A4" s="3"/>
      <c r="B4" s="2"/>
      <c r="C4" s="2"/>
    </row>
    <row r="5" ht="12.75">
      <c r="A5" t="s">
        <v>312</v>
      </c>
    </row>
    <row r="6" spans="1:3" ht="12.75">
      <c r="A6" s="3"/>
      <c r="B6" s="2"/>
      <c r="C6" s="2"/>
    </row>
    <row r="7" ht="12.75">
      <c r="A7" s="6" t="s">
        <v>324</v>
      </c>
    </row>
    <row r="8" spans="1:3" ht="12.75">
      <c r="A8" s="3"/>
      <c r="B8" s="2"/>
      <c r="C8" s="2"/>
    </row>
    <row r="9" spans="1:11" ht="25.5">
      <c r="A9" s="56" t="s">
        <v>52</v>
      </c>
      <c r="B9" s="56" t="s">
        <v>333</v>
      </c>
      <c r="C9" s="57" t="s">
        <v>323</v>
      </c>
      <c r="D9" s="216" t="s">
        <v>159</v>
      </c>
      <c r="E9" s="82" t="s">
        <v>54</v>
      </c>
      <c r="F9" s="80"/>
      <c r="G9" s="80"/>
      <c r="H9" s="81"/>
      <c r="I9" s="81"/>
      <c r="J9" s="83"/>
      <c r="K9" s="217" t="s">
        <v>89</v>
      </c>
    </row>
    <row r="10" spans="1:31" ht="38.25" customHeight="1">
      <c r="A10" s="58"/>
      <c r="B10" s="58"/>
      <c r="C10" s="58"/>
      <c r="D10" s="77"/>
      <c r="E10" s="78" t="s">
        <v>38</v>
      </c>
      <c r="F10" s="78" t="s">
        <v>39</v>
      </c>
      <c r="G10" s="78" t="s">
        <v>40</v>
      </c>
      <c r="H10" s="79" t="s">
        <v>371</v>
      </c>
      <c r="I10" s="79" t="s">
        <v>42</v>
      </c>
      <c r="J10" s="79" t="s">
        <v>237</v>
      </c>
      <c r="K10" s="218"/>
      <c r="M10" s="48"/>
      <c r="N10" s="48"/>
      <c r="O10" s="48"/>
      <c r="P10" s="48"/>
      <c r="Q10" s="48"/>
      <c r="R10" s="48"/>
      <c r="S10" s="48"/>
      <c r="T10" s="48"/>
      <c r="U10" s="48"/>
      <c r="V10" s="48"/>
      <c r="W10" s="48"/>
      <c r="X10" s="48"/>
      <c r="Y10" s="48"/>
      <c r="Z10" s="48"/>
      <c r="AA10" s="48"/>
      <c r="AB10" s="48"/>
      <c r="AC10" s="48"/>
      <c r="AD10" s="48"/>
      <c r="AE10" s="48"/>
    </row>
    <row r="11" spans="1:31" ht="25.5">
      <c r="A11" s="57" t="str">
        <f>'5-1 Fuels'!A5</f>
        <v>5.1</v>
      </c>
      <c r="B11" s="57"/>
      <c r="C11" s="57" t="str">
        <f>'5-1 Fuels'!C5</f>
        <v>Source category: Extraction and use of fuels/energy sources</v>
      </c>
      <c r="D11" s="77"/>
      <c r="E11" s="77"/>
      <c r="F11" s="77"/>
      <c r="G11" s="77"/>
      <c r="H11" s="77"/>
      <c r="I11" s="77"/>
      <c r="J11" s="77"/>
      <c r="K11" s="218"/>
      <c r="M11" s="48"/>
      <c r="N11" s="48"/>
      <c r="O11" s="48"/>
      <c r="P11" s="48"/>
      <c r="Q11" s="48"/>
      <c r="R11" s="48"/>
      <c r="S11" s="48"/>
      <c r="T11" s="48"/>
      <c r="U11" s="48"/>
      <c r="V11" s="48"/>
      <c r="W11" s="48"/>
      <c r="X11" s="48"/>
      <c r="Y11" s="48"/>
      <c r="Z11" s="48"/>
      <c r="AA11" s="48"/>
      <c r="AB11" s="48"/>
      <c r="AC11" s="48"/>
      <c r="AD11" s="48"/>
      <c r="AE11" s="48"/>
    </row>
    <row r="12" spans="1:31" ht="12.75">
      <c r="A12" s="57"/>
      <c r="B12" s="285" t="str">
        <f>'5-1 Fuels'!B6</f>
        <v>5.1.1</v>
      </c>
      <c r="C12" s="285" t="str">
        <f>'5-1 Fuels'!C6</f>
        <v>Coal combustion in large power plants</v>
      </c>
      <c r="D12" s="77">
        <f>'5-1 Fuels'!D6</f>
        <v>0</v>
      </c>
      <c r="E12" s="87">
        <f>'5-1 Fuels'!V6</f>
        <v>0</v>
      </c>
      <c r="F12" s="85">
        <f>'5-1 Fuels'!W6</f>
        <v>0</v>
      </c>
      <c r="G12" s="85">
        <f>'5-1 Fuels'!X6</f>
        <v>0</v>
      </c>
      <c r="H12" s="85">
        <f>'5-1 Fuels'!Y6</f>
        <v>0</v>
      </c>
      <c r="I12" s="87">
        <f>'5-1 Fuels'!Z6</f>
        <v>0</v>
      </c>
      <c r="J12" s="85">
        <f>'5-1 Fuels'!AA6</f>
        <v>0</v>
      </c>
      <c r="K12" s="218"/>
      <c r="M12" s="48"/>
      <c r="N12" s="48"/>
      <c r="O12" s="48"/>
      <c r="P12" s="48"/>
      <c r="Q12" s="48"/>
      <c r="R12" s="48"/>
      <c r="S12" s="48"/>
      <c r="T12" s="48"/>
      <c r="U12" s="48"/>
      <c r="V12" s="48"/>
      <c r="W12" s="48"/>
      <c r="X12" s="48"/>
      <c r="Y12" s="48"/>
      <c r="Z12" s="48"/>
      <c r="AA12" s="48"/>
      <c r="AB12" s="48"/>
      <c r="AC12" s="48"/>
      <c r="AD12" s="48"/>
      <c r="AE12" s="48"/>
    </row>
    <row r="13" spans="1:31" ht="12.75">
      <c r="A13" s="57"/>
      <c r="B13" s="285" t="str">
        <f>'5-1 Fuels'!B14</f>
        <v>5.1.2</v>
      </c>
      <c r="C13" s="285" t="str">
        <f>'5-1 Fuels'!C14</f>
        <v>Other coal use</v>
      </c>
      <c r="D13" s="77">
        <f>'5-1 Fuels'!D14</f>
        <v>0</v>
      </c>
      <c r="E13" s="85">
        <f>'5-1 Fuels'!V14</f>
        <v>0</v>
      </c>
      <c r="F13" s="85">
        <f>'5-1 Fuels'!W14</f>
        <v>0</v>
      </c>
      <c r="G13" s="85">
        <f>'5-1 Fuels'!X14</f>
        <v>0</v>
      </c>
      <c r="H13" s="85">
        <f>'5-1 Fuels'!Y14</f>
        <v>0</v>
      </c>
      <c r="I13" s="85">
        <f>'5-1 Fuels'!Z14</f>
        <v>0</v>
      </c>
      <c r="J13" s="85">
        <f>'5-1 Fuels'!AA14</f>
        <v>0</v>
      </c>
      <c r="K13" s="218"/>
      <c r="M13" s="48"/>
      <c r="N13" s="48"/>
      <c r="O13" s="48"/>
      <c r="P13" s="48"/>
      <c r="Q13" s="48"/>
      <c r="R13" s="48"/>
      <c r="S13" s="48"/>
      <c r="T13" s="48"/>
      <c r="U13" s="48"/>
      <c r="V13" s="48"/>
      <c r="W13" s="48"/>
      <c r="X13" s="48"/>
      <c r="Y13" s="48"/>
      <c r="Z13" s="48"/>
      <c r="AA13" s="48"/>
      <c r="AB13" s="48"/>
      <c r="AC13" s="48"/>
      <c r="AD13" s="48"/>
      <c r="AE13" s="48"/>
    </row>
    <row r="14" spans="1:31" ht="12.75">
      <c r="A14" s="57"/>
      <c r="B14" s="285" t="str">
        <f>'5-1 Fuels'!B24</f>
        <v>5.1.3</v>
      </c>
      <c r="C14" s="285" t="str">
        <f>'5-1 Fuels'!C24</f>
        <v>Mineral oils - extraction, refining and use</v>
      </c>
      <c r="D14" s="77">
        <f>'5-1 Fuels'!D24</f>
        <v>0</v>
      </c>
      <c r="E14" s="85">
        <f>'5-1 Fuels'!V24</f>
        <v>0</v>
      </c>
      <c r="F14" s="85">
        <f>'5-1 Fuels'!W24</f>
        <v>0</v>
      </c>
      <c r="G14" s="85">
        <f>'5-1 Fuels'!X24</f>
        <v>0</v>
      </c>
      <c r="H14" s="85">
        <f>'5-1 Fuels'!Y24</f>
        <v>0</v>
      </c>
      <c r="I14" s="85">
        <f>'5-1 Fuels'!Z24</f>
        <v>0</v>
      </c>
      <c r="J14" s="85">
        <f>'5-1 Fuels'!AA24</f>
        <v>0</v>
      </c>
      <c r="K14" s="218"/>
      <c r="M14" s="48"/>
      <c r="N14" s="48"/>
      <c r="O14" s="48"/>
      <c r="P14" s="48"/>
      <c r="Q14" s="48"/>
      <c r="R14" s="48"/>
      <c r="S14" s="48"/>
      <c r="T14" s="48"/>
      <c r="U14" s="48"/>
      <c r="V14" s="48"/>
      <c r="W14" s="48"/>
      <c r="X14" s="48"/>
      <c r="Y14" s="48"/>
      <c r="Z14" s="48"/>
      <c r="AA14" s="48"/>
      <c r="AB14" s="48"/>
      <c r="AC14" s="48"/>
      <c r="AD14" s="48"/>
      <c r="AE14" s="48"/>
    </row>
    <row r="15" spans="1:31" ht="12.75">
      <c r="A15" s="57"/>
      <c r="B15" s="285" t="str">
        <f>'5-1 Fuels'!B37</f>
        <v>5.1.4</v>
      </c>
      <c r="C15" s="285" t="str">
        <f>'5-1 Fuels'!C37</f>
        <v>Natural gas - extraction, refining and use</v>
      </c>
      <c r="D15" s="77">
        <f>'5-1 Fuels'!D37</f>
        <v>0</v>
      </c>
      <c r="E15" s="85">
        <f>'5-1 Fuels'!V37</f>
        <v>0</v>
      </c>
      <c r="F15" s="85">
        <f>'5-1 Fuels'!W37</f>
        <v>0</v>
      </c>
      <c r="G15" s="85">
        <f>'5-1 Fuels'!X37</f>
        <v>0</v>
      </c>
      <c r="H15" s="85">
        <f>'5-1 Fuels'!Y37</f>
        <v>0</v>
      </c>
      <c r="I15" s="85">
        <f>'5-1 Fuels'!Z37</f>
        <v>0</v>
      </c>
      <c r="J15" s="85">
        <f>'5-1 Fuels'!AA37</f>
        <v>0</v>
      </c>
      <c r="K15" s="218"/>
      <c r="M15" s="48"/>
      <c r="N15" s="48"/>
      <c r="O15" s="48"/>
      <c r="P15" s="48"/>
      <c r="Q15" s="48"/>
      <c r="R15" s="48"/>
      <c r="S15" s="48"/>
      <c r="T15" s="48"/>
      <c r="U15" s="48"/>
      <c r="V15" s="48"/>
      <c r="W15" s="48"/>
      <c r="X15" s="48"/>
      <c r="Y15" s="48"/>
      <c r="Z15" s="48"/>
      <c r="AA15" s="48"/>
      <c r="AB15" s="48"/>
      <c r="AC15" s="48"/>
      <c r="AD15" s="48"/>
      <c r="AE15" s="48"/>
    </row>
    <row r="16" spans="1:31" ht="12.75">
      <c r="A16" s="57"/>
      <c r="B16" s="285" t="str">
        <f>'5-1 Fuels'!B44</f>
        <v>5.1.5</v>
      </c>
      <c r="C16" s="285" t="str">
        <f>'5-1 Fuels'!C44</f>
        <v>Other fossil fuels - extraction and use</v>
      </c>
      <c r="D16" s="77">
        <f>'5-1 Fuels'!D44</f>
        <v>0</v>
      </c>
      <c r="E16" s="85">
        <f>'5-1 Fuels'!V44</f>
        <v>0</v>
      </c>
      <c r="F16" s="85">
        <f>'5-1 Fuels'!W44</f>
        <v>0</v>
      </c>
      <c r="G16" s="85">
        <f>'5-1 Fuels'!X44</f>
        <v>0</v>
      </c>
      <c r="H16" s="85">
        <f>'5-1 Fuels'!Y44</f>
        <v>0</v>
      </c>
      <c r="I16" s="85">
        <f>'5-1 Fuels'!Z44</f>
        <v>0</v>
      </c>
      <c r="J16" s="85">
        <f>'5-1 Fuels'!AA44</f>
        <v>0</v>
      </c>
      <c r="K16" s="218"/>
      <c r="M16" s="48"/>
      <c r="N16" s="48"/>
      <c r="O16" s="48"/>
      <c r="P16" s="48"/>
      <c r="Q16" s="48"/>
      <c r="R16" s="48"/>
      <c r="S16" s="48"/>
      <c r="T16" s="48"/>
      <c r="U16" s="48"/>
      <c r="V16" s="48"/>
      <c r="W16" s="48"/>
      <c r="X16" s="48"/>
      <c r="Y16" s="48"/>
      <c r="Z16" s="48"/>
      <c r="AA16" s="48"/>
      <c r="AB16" s="48"/>
      <c r="AC16" s="48"/>
      <c r="AD16" s="48"/>
      <c r="AE16" s="48"/>
    </row>
    <row r="17" spans="1:31" ht="12.75">
      <c r="A17" s="57"/>
      <c r="B17" s="285" t="str">
        <f>'5-1 Fuels'!B50</f>
        <v>5.1.6</v>
      </c>
      <c r="C17" s="285" t="str">
        <f>'5-1 Fuels'!C50</f>
        <v>Biomass fired power and heat production</v>
      </c>
      <c r="D17" s="77">
        <f>'5-1 Fuels'!D50</f>
        <v>0</v>
      </c>
      <c r="E17" s="85">
        <f>'5-1 Fuels'!V50</f>
        <v>0</v>
      </c>
      <c r="F17" s="85">
        <f>'5-1 Fuels'!W50</f>
        <v>0</v>
      </c>
      <c r="G17" s="85">
        <f>'5-1 Fuels'!X50</f>
        <v>0</v>
      </c>
      <c r="H17" s="85">
        <f>'5-1 Fuels'!Y50</f>
        <v>0</v>
      </c>
      <c r="I17" s="85">
        <f>'5-1 Fuels'!Z50</f>
        <v>0</v>
      </c>
      <c r="J17" s="85">
        <f>'5-1 Fuels'!AA50</f>
        <v>0</v>
      </c>
      <c r="K17" s="218"/>
      <c r="M17" s="48"/>
      <c r="N17" s="48"/>
      <c r="O17" s="48"/>
      <c r="P17" s="48"/>
      <c r="Q17" s="48"/>
      <c r="R17" s="48"/>
      <c r="S17" s="48"/>
      <c r="T17" s="48"/>
      <c r="U17" s="48"/>
      <c r="V17" s="48"/>
      <c r="W17" s="48"/>
      <c r="X17" s="48"/>
      <c r="Y17" s="48"/>
      <c r="Z17" s="48"/>
      <c r="AA17" s="48"/>
      <c r="AB17" s="48"/>
      <c r="AC17" s="48"/>
      <c r="AD17" s="48"/>
      <c r="AE17" s="48"/>
    </row>
    <row r="18" spans="1:31" s="55" customFormat="1" ht="12.75">
      <c r="A18" s="57"/>
      <c r="B18" s="285" t="str">
        <f>'5-1 Fuels'!B53</f>
        <v>5.1.7</v>
      </c>
      <c r="C18" s="285" t="str">
        <f>'5-1 Fuels'!C53</f>
        <v>Geothermal power production</v>
      </c>
      <c r="D18" s="77">
        <f>'5-1 Fuels'!D53</f>
        <v>0</v>
      </c>
      <c r="E18" s="85">
        <f>'5-1 Fuels'!V53</f>
        <v>0</v>
      </c>
      <c r="F18" s="85">
        <f>'5-1 Fuels'!W53</f>
        <v>0</v>
      </c>
      <c r="G18" s="85">
        <f>'5-1 Fuels'!X53</f>
        <v>0</v>
      </c>
      <c r="H18" s="85">
        <f>'5-1 Fuels'!Y53</f>
        <v>0</v>
      </c>
      <c r="I18" s="85">
        <f>'5-1 Fuels'!Z53</f>
        <v>0</v>
      </c>
      <c r="J18" s="85">
        <f>'5-1 Fuels'!AA53</f>
        <v>0</v>
      </c>
      <c r="K18" s="218"/>
      <c r="L18" s="13"/>
      <c r="M18" s="48"/>
      <c r="N18" s="48"/>
      <c r="O18" s="48"/>
      <c r="P18" s="48"/>
      <c r="Q18" s="48"/>
      <c r="R18" s="48"/>
      <c r="S18" s="48"/>
      <c r="T18" s="48"/>
      <c r="U18" s="48"/>
      <c r="V18" s="48"/>
      <c r="W18" s="48"/>
      <c r="X18" s="48"/>
      <c r="Y18" s="48"/>
      <c r="Z18" s="48"/>
      <c r="AA18" s="48"/>
      <c r="AB18" s="48"/>
      <c r="AC18" s="48"/>
      <c r="AD18" s="48"/>
      <c r="AE18" s="48"/>
    </row>
    <row r="19" spans="1:31" ht="12.75">
      <c r="A19" s="56" t="str">
        <f>'5-2 Prim metal'!A5</f>
        <v>5.2</v>
      </c>
      <c r="B19" s="56"/>
      <c r="C19" s="57" t="str">
        <f>'5-2 Prim metal'!C5</f>
        <v>Source category: Primary (virgin) metal production</v>
      </c>
      <c r="D19" s="77"/>
      <c r="E19" s="85"/>
      <c r="F19" s="85"/>
      <c r="G19" s="85"/>
      <c r="H19" s="85"/>
      <c r="I19" s="85"/>
      <c r="J19" s="85"/>
      <c r="K19" s="219"/>
      <c r="L19" s="13"/>
      <c r="M19" s="48"/>
      <c r="N19" s="48"/>
      <c r="O19" s="48"/>
      <c r="P19" s="48"/>
      <c r="Q19" s="48"/>
      <c r="R19" s="48"/>
      <c r="S19" s="48"/>
      <c r="T19" s="48"/>
      <c r="U19" s="48"/>
      <c r="V19" s="48"/>
      <c r="W19" s="48"/>
      <c r="X19" s="48"/>
      <c r="Y19" s="48"/>
      <c r="Z19" s="48"/>
      <c r="AA19" s="48"/>
      <c r="AB19" s="48"/>
      <c r="AC19" s="48"/>
      <c r="AD19" s="48"/>
      <c r="AE19" s="48"/>
    </row>
    <row r="20" spans="1:11" ht="12.75">
      <c r="A20" s="56"/>
      <c r="B20" s="113" t="str">
        <f>'5-2 Prim metal'!B6</f>
        <v>5.2.1</v>
      </c>
      <c r="C20" s="285" t="str">
        <f>'5-2 Prim metal'!C6</f>
        <v>Mercury (primary) extraction and initial processing</v>
      </c>
      <c r="D20" s="77">
        <f>'5-2 Prim metal'!D6</f>
        <v>0</v>
      </c>
      <c r="E20" s="85">
        <f>'5-2 Prim metal'!V6</f>
        <v>0</v>
      </c>
      <c r="F20" s="85">
        <f>'5-2 Prim metal'!W6</f>
        <v>0</v>
      </c>
      <c r="G20" s="85">
        <f>'5-2 Prim metal'!X6</f>
        <v>0</v>
      </c>
      <c r="H20" s="85">
        <f>'5-2 Prim metal'!Y6</f>
        <v>0</v>
      </c>
      <c r="I20" s="85">
        <f>'5-2 Prim metal'!Z6</f>
        <v>0</v>
      </c>
      <c r="J20" s="85">
        <f>'5-2 Prim metal'!AA6</f>
        <v>0</v>
      </c>
      <c r="K20" s="220"/>
    </row>
    <row r="21" spans="1:11" ht="12.75">
      <c r="A21" s="56"/>
      <c r="B21" s="113" t="str">
        <f>'5-2 Prim metal'!B8</f>
        <v>5.2.2</v>
      </c>
      <c r="C21" s="285" t="str">
        <f>'5-2 Prim metal'!C8</f>
        <v>Gold and silver extraction with mercury amalgamation processes</v>
      </c>
      <c r="D21" s="77">
        <f>'5-2 Prim metal'!D8</f>
        <v>0</v>
      </c>
      <c r="E21" s="85">
        <f>'5-2 Prim metal'!V8</f>
        <v>0</v>
      </c>
      <c r="F21" s="85">
        <f>'5-2 Prim metal'!W8</f>
        <v>0</v>
      </c>
      <c r="G21" s="85">
        <f>'5-2 Prim metal'!X8</f>
        <v>0</v>
      </c>
      <c r="H21" s="85">
        <f>'5-2 Prim metal'!Y8</f>
        <v>0</v>
      </c>
      <c r="I21" s="85">
        <f>'5-2 Prim metal'!Z8</f>
        <v>0</v>
      </c>
      <c r="J21" s="85">
        <f>'5-2 Prim metal'!AA8</f>
        <v>0</v>
      </c>
      <c r="K21" s="220"/>
    </row>
    <row r="22" spans="1:11" ht="12.75">
      <c r="A22" s="56"/>
      <c r="B22" s="113" t="str">
        <f>'5-2 Prim metal'!B13</f>
        <v>5.3.3</v>
      </c>
      <c r="C22" s="285" t="str">
        <f>'5-2 Prim metal'!C13</f>
        <v>Zinc extraction and initial processing</v>
      </c>
      <c r="D22" s="77">
        <f>'5-2 Prim metal'!D13</f>
        <v>0</v>
      </c>
      <c r="E22" s="85">
        <f>'5-2 Prim metal'!V13</f>
        <v>0</v>
      </c>
      <c r="F22" s="85">
        <f>'5-2 Prim metal'!W13</f>
        <v>0</v>
      </c>
      <c r="G22" s="85">
        <f>'5-2 Prim metal'!X13</f>
        <v>0</v>
      </c>
      <c r="H22" s="85">
        <f>'5-2 Prim metal'!Y13</f>
        <v>0</v>
      </c>
      <c r="I22" s="85">
        <f>'5-2 Prim metal'!Z13</f>
        <v>0</v>
      </c>
      <c r="J22" s="85">
        <f>'5-2 Prim metal'!AA13</f>
        <v>0</v>
      </c>
      <c r="K22" s="220"/>
    </row>
    <row r="23" spans="1:11" ht="12.75">
      <c r="A23" s="56"/>
      <c r="B23" s="113" t="str">
        <f>'5-2 Prim metal'!B17</f>
        <v>5.3.4</v>
      </c>
      <c r="C23" s="285" t="str">
        <f>'5-2 Prim metal'!C17</f>
        <v>Copper extraction and initial processing</v>
      </c>
      <c r="D23" s="77">
        <f>'5-2 Prim metal'!D17</f>
        <v>0</v>
      </c>
      <c r="E23" s="85">
        <f>'5-2 Prim metal'!V17</f>
        <v>0</v>
      </c>
      <c r="F23" s="85">
        <f>'5-2 Prim metal'!W17</f>
        <v>0</v>
      </c>
      <c r="G23" s="85">
        <f>'5-2 Prim metal'!X17</f>
        <v>0</v>
      </c>
      <c r="H23" s="85">
        <f>'5-2 Prim metal'!Y17</f>
        <v>0</v>
      </c>
      <c r="I23" s="85">
        <f>'5-2 Prim metal'!Z17</f>
        <v>0</v>
      </c>
      <c r="J23" s="85">
        <f>'5-2 Prim metal'!AA17</f>
        <v>0</v>
      </c>
      <c r="K23" s="220"/>
    </row>
    <row r="24" spans="1:11" ht="12.75">
      <c r="A24" s="56"/>
      <c r="B24" s="113" t="str">
        <f>'5-2 Prim metal'!B21</f>
        <v>5.3.5</v>
      </c>
      <c r="C24" s="285" t="str">
        <f>'5-2 Prim metal'!C21</f>
        <v>Lead extraction and initial processing</v>
      </c>
      <c r="D24" s="77">
        <f>'5-2 Prim metal'!D21</f>
        <v>0</v>
      </c>
      <c r="E24" s="85">
        <f>'5-2 Prim metal'!V21</f>
        <v>0</v>
      </c>
      <c r="F24" s="85">
        <f>'5-2 Prim metal'!W21</f>
        <v>0</v>
      </c>
      <c r="G24" s="85">
        <f>'5-2 Prim metal'!X21</f>
        <v>0</v>
      </c>
      <c r="H24" s="85">
        <f>'5-2 Prim metal'!Y21</f>
        <v>0</v>
      </c>
      <c r="I24" s="85">
        <f>'5-2 Prim metal'!Z21</f>
        <v>0</v>
      </c>
      <c r="J24" s="85">
        <f>'5-2 Prim metal'!AA21</f>
        <v>0</v>
      </c>
      <c r="K24" s="220"/>
    </row>
    <row r="25" spans="1:11" ht="25.5">
      <c r="A25" s="56"/>
      <c r="B25" s="113" t="str">
        <f>'5-2 Prim metal'!B25</f>
        <v>5.3.6</v>
      </c>
      <c r="C25" s="285" t="str">
        <f>'5-2 Prim metal'!C25</f>
        <v>Gold extraction and initial processing by methods other than mercury amalgamation (a</v>
      </c>
      <c r="D25" s="77">
        <f>'5-2 Prim metal'!D25</f>
        <v>0</v>
      </c>
      <c r="E25" s="85">
        <f>'5-2 Prim metal'!V25</f>
        <v>0</v>
      </c>
      <c r="F25" s="85">
        <f>'5-2 Prim metal'!W25</f>
        <v>0</v>
      </c>
      <c r="G25" s="85">
        <f>'5-2 Prim metal'!X25</f>
        <v>0</v>
      </c>
      <c r="H25" s="85">
        <f>'5-2 Prim metal'!Y25</f>
        <v>0</v>
      </c>
      <c r="I25" s="85">
        <f>'5-2 Prim metal'!Z25</f>
        <v>0</v>
      </c>
      <c r="J25" s="85">
        <f>'5-2 Prim metal'!AA25</f>
        <v>0</v>
      </c>
      <c r="K25" s="220"/>
    </row>
    <row r="26" spans="1:11" ht="12.75">
      <c r="A26" s="56"/>
      <c r="B26" s="113" t="str">
        <f>'5-2 Prim metal'!B27</f>
        <v>5.3.7</v>
      </c>
      <c r="C26" s="285" t="str">
        <f>'5-2 Prim metal'!C27</f>
        <v>Aliminium extraction and initial processing</v>
      </c>
      <c r="D26" s="77">
        <f>'5-2 Prim metal'!D27</f>
        <v>0</v>
      </c>
      <c r="E26" s="85">
        <f>'5-2 Prim metal'!V27</f>
        <v>0</v>
      </c>
      <c r="F26" s="85">
        <f>'5-2 Prim metal'!W27</f>
        <v>0</v>
      </c>
      <c r="G26" s="85">
        <f>'5-2 Prim metal'!X27</f>
        <v>0</v>
      </c>
      <c r="H26" s="85">
        <f>'5-2 Prim metal'!Y27</f>
        <v>0</v>
      </c>
      <c r="I26" s="85">
        <f>'5-2 Prim metal'!Z27</f>
        <v>0</v>
      </c>
      <c r="J26" s="85">
        <f>'5-2 Prim metal'!AA27</f>
        <v>0</v>
      </c>
      <c r="K26" s="220"/>
    </row>
    <row r="27" spans="1:11" ht="12.75">
      <c r="A27" s="56"/>
      <c r="B27" s="113" t="str">
        <f>'5-2 Prim metal'!B31</f>
        <v>5.3.8</v>
      </c>
      <c r="C27" s="285" t="str">
        <f>'5-2 Prim metal'!C31</f>
        <v>Other non-ferrous metals - extraction and processing</v>
      </c>
      <c r="D27" s="77">
        <f>'5-2 Prim metal'!D31</f>
        <v>0</v>
      </c>
      <c r="E27" s="85">
        <f>'5-2 Prim metal'!V31</f>
        <v>0</v>
      </c>
      <c r="F27" s="85">
        <f>'5-2 Prim metal'!W31</f>
        <v>0</v>
      </c>
      <c r="G27" s="85">
        <f>'5-2 Prim metal'!X31</f>
        <v>0</v>
      </c>
      <c r="H27" s="85">
        <f>'5-2 Prim metal'!Y31</f>
        <v>0</v>
      </c>
      <c r="I27" s="85">
        <f>'5-2 Prim metal'!Z31</f>
        <v>0</v>
      </c>
      <c r="J27" s="85">
        <f>'5-2 Prim metal'!AA31</f>
        <v>0</v>
      </c>
      <c r="K27" s="220"/>
    </row>
    <row r="28" spans="1:11" ht="12.75">
      <c r="A28" s="56"/>
      <c r="B28" s="113" t="str">
        <f>'5-2 Prim metal'!B33</f>
        <v>5.3.9</v>
      </c>
      <c r="C28" s="285" t="str">
        <f>'5-2 Prim metal'!C33</f>
        <v>Primary ferrous metal production</v>
      </c>
      <c r="D28" s="77">
        <f>'5-2 Prim metal'!D33</f>
        <v>0</v>
      </c>
      <c r="E28" s="85">
        <f>'5-2 Prim metal'!V33</f>
        <v>0</v>
      </c>
      <c r="F28" s="85">
        <f>'5-2 Prim metal'!W33</f>
        <v>0</v>
      </c>
      <c r="G28" s="85">
        <f>'5-2 Prim metal'!X33</f>
        <v>0</v>
      </c>
      <c r="H28" s="85">
        <f>'5-2 Prim metal'!Y33</f>
        <v>0</v>
      </c>
      <c r="I28" s="85">
        <f>'5-2 Prim metal'!Z33</f>
        <v>0</v>
      </c>
      <c r="J28" s="85">
        <f>'5-2 Prim metal'!AA33</f>
        <v>0</v>
      </c>
      <c r="K28" s="220"/>
    </row>
    <row r="29" spans="1:11" ht="25.5">
      <c r="A29" s="56" t="str">
        <f>'5-3 Other min + mat'!A5</f>
        <v>5.3</v>
      </c>
      <c r="B29" s="56"/>
      <c r="C29" s="57" t="str">
        <f>'5-3 Other min + mat'!C5</f>
        <v>Source category: Production of other minerals and materials with mercury impurities</v>
      </c>
      <c r="D29" s="77"/>
      <c r="E29" s="85"/>
      <c r="F29" s="85"/>
      <c r="G29" s="85"/>
      <c r="H29" s="85"/>
      <c r="I29" s="85"/>
      <c r="J29" s="85"/>
      <c r="K29" s="219"/>
    </row>
    <row r="30" spans="1:11" ht="12.75">
      <c r="A30" s="56"/>
      <c r="B30" s="113" t="str">
        <f>'5-3 Other min + mat'!B6</f>
        <v>5.3.1</v>
      </c>
      <c r="C30" s="285" t="str">
        <f>'5-3 Other min + mat'!C6</f>
        <v>Cement production</v>
      </c>
      <c r="D30" s="77">
        <f>'5-3 Other min + mat'!D6</f>
        <v>0</v>
      </c>
      <c r="E30" s="85">
        <f>'5-3 Other min + mat'!V6</f>
        <v>0</v>
      </c>
      <c r="F30" s="85">
        <f>'5-3 Other min + mat'!W6</f>
        <v>0</v>
      </c>
      <c r="G30" s="85">
        <f>'5-3 Other min + mat'!X6</f>
        <v>0</v>
      </c>
      <c r="H30" s="85">
        <f>'5-3 Other min + mat'!Y6</f>
        <v>0</v>
      </c>
      <c r="I30" s="85">
        <f>'5-3 Other min + mat'!Z6</f>
        <v>0</v>
      </c>
      <c r="J30" s="85">
        <f>'5-3 Other min + mat'!AA6</f>
        <v>0</v>
      </c>
      <c r="K30" s="219"/>
    </row>
    <row r="31" spans="1:11" ht="12.75">
      <c r="A31" s="56"/>
      <c r="B31" s="113" t="str">
        <f>'5-3 Other min + mat'!B11</f>
        <v>5.3.2</v>
      </c>
      <c r="C31" s="285" t="str">
        <f>'5-3 Other min + mat'!C11</f>
        <v>Pulp and paper production</v>
      </c>
      <c r="D31" s="77">
        <f>'5-3 Other min + mat'!D11</f>
        <v>0</v>
      </c>
      <c r="E31" s="85">
        <f>'5-3 Other min + mat'!V11</f>
        <v>0</v>
      </c>
      <c r="F31" s="85">
        <f>'5-3 Other min + mat'!W11</f>
        <v>0</v>
      </c>
      <c r="G31" s="85">
        <f>'5-3 Other min + mat'!X11</f>
        <v>0</v>
      </c>
      <c r="H31" s="85">
        <f>'5-3 Other min + mat'!Y11</f>
        <v>0</v>
      </c>
      <c r="I31" s="85">
        <f>'5-3 Other min + mat'!Z11</f>
        <v>0</v>
      </c>
      <c r="J31" s="85">
        <f>'5-3 Other min + mat'!AA11</f>
        <v>0</v>
      </c>
      <c r="K31" s="219"/>
    </row>
    <row r="32" spans="1:11" ht="12.75">
      <c r="A32" s="56"/>
      <c r="B32" s="113" t="str">
        <f>'5-3 Other min + mat'!B13</f>
        <v>5.3.3</v>
      </c>
      <c r="C32" s="285" t="str">
        <f>'5-3 Other min + mat'!C13</f>
        <v>Production of lime and light weight aggregates</v>
      </c>
      <c r="D32" s="77">
        <f>'5-3 Other min + mat'!D13</f>
        <v>0</v>
      </c>
      <c r="E32" s="85" t="e">
        <f>'5-3 Other min + mat'!V13</f>
        <v>#VALUE!</v>
      </c>
      <c r="F32" s="85" t="e">
        <f>'5-3 Other min + mat'!W13</f>
        <v>#VALUE!</v>
      </c>
      <c r="G32" s="85" t="e">
        <f>'5-3 Other min + mat'!X13</f>
        <v>#VALUE!</v>
      </c>
      <c r="H32" s="85" t="e">
        <f>'5-3 Other min + mat'!Y13</f>
        <v>#VALUE!</v>
      </c>
      <c r="I32" s="85" t="e">
        <f>'5-3 Other min + mat'!Z13</f>
        <v>#VALUE!</v>
      </c>
      <c r="J32" s="85" t="e">
        <f>'5-3 Other min + mat'!AA13</f>
        <v>#VALUE!</v>
      </c>
      <c r="K32" s="219"/>
    </row>
    <row r="33" spans="1:11" ht="25.5">
      <c r="A33" s="56" t="str">
        <f>'5-4 Int Hg in Industry'!A5</f>
        <v>5.4</v>
      </c>
      <c r="B33" s="56"/>
      <c r="C33" s="57" t="str">
        <f>'5-4 Int Hg in Industry'!C5</f>
        <v>Source category: Intentional use of mercury in industrial processes</v>
      </c>
      <c r="D33" s="77"/>
      <c r="E33" s="85"/>
      <c r="F33" s="85"/>
      <c r="G33" s="85"/>
      <c r="H33" s="85"/>
      <c r="I33" s="85"/>
      <c r="J33" s="85"/>
      <c r="K33" s="219"/>
    </row>
    <row r="34" spans="1:11" ht="12.75">
      <c r="A34" s="56"/>
      <c r="B34" s="113" t="str">
        <f>'5-4 Int Hg in Industry'!B6</f>
        <v>5.4.1</v>
      </c>
      <c r="C34" s="285" t="str">
        <f>'5-4 Int Hg in Industry'!C6</f>
        <v>Chlor-alkali production with mercury-technology</v>
      </c>
      <c r="D34" s="77">
        <f>'5-4 Int Hg in Industry'!D6</f>
        <v>0</v>
      </c>
      <c r="E34" s="85">
        <f>'5-4 Int Hg in Industry'!V6</f>
        <v>0</v>
      </c>
      <c r="F34" s="85">
        <f>'5-4 Int Hg in Industry'!W6</f>
        <v>0</v>
      </c>
      <c r="G34" s="85">
        <f>'5-4 Int Hg in Industry'!X6</f>
        <v>0</v>
      </c>
      <c r="H34" s="85">
        <f>'5-4 Int Hg in Industry'!Y6</f>
        <v>0</v>
      </c>
      <c r="I34" s="85">
        <f>'5-4 Int Hg in Industry'!Z6</f>
        <v>0</v>
      </c>
      <c r="J34" s="85">
        <f>'5-4 Int Hg in Industry'!AA6</f>
        <v>0</v>
      </c>
      <c r="K34" s="219"/>
    </row>
    <row r="35" spans="1:11" ht="12.75">
      <c r="A35" s="56"/>
      <c r="B35" s="113" t="str">
        <f>'5-4 Int Hg in Industry'!B10</f>
        <v>5.4.2</v>
      </c>
      <c r="C35" s="285" t="str">
        <f>'5-4 Int Hg in Industry'!C10</f>
        <v>VCM production with mercury catalyst</v>
      </c>
      <c r="D35" s="77">
        <f>'5-4 Int Hg in Industry'!D10</f>
        <v>0</v>
      </c>
      <c r="E35" s="85">
        <f>'5-4 Int Hg in Industry'!V10</f>
        <v>0</v>
      </c>
      <c r="F35" s="85">
        <f>'5-4 Int Hg in Industry'!W10</f>
        <v>0</v>
      </c>
      <c r="G35" s="85">
        <f>'5-4 Int Hg in Industry'!X10</f>
        <v>0</v>
      </c>
      <c r="H35" s="85">
        <f>'5-4 Int Hg in Industry'!Y10</f>
        <v>0</v>
      </c>
      <c r="I35" s="85">
        <f>'5-4 Int Hg in Industry'!Z10</f>
        <v>0</v>
      </c>
      <c r="J35" s="85">
        <f>'5-4 Int Hg in Industry'!AA10</f>
        <v>0</v>
      </c>
      <c r="K35" s="219"/>
    </row>
    <row r="36" spans="1:11" ht="12.75">
      <c r="A36" s="56"/>
      <c r="B36" s="113" t="str">
        <f>'5-4 Int Hg in Industry'!B12</f>
        <v>5.4.3</v>
      </c>
      <c r="C36" s="285" t="str">
        <f>'5-4 Int Hg in Industry'!C12</f>
        <v>Acetaldehyde production with mercury catalyst</v>
      </c>
      <c r="D36" s="77">
        <f>'5-4 Int Hg in Industry'!D12</f>
        <v>0</v>
      </c>
      <c r="E36" s="85">
        <f>'5-4 Int Hg in Industry'!V12</f>
        <v>0</v>
      </c>
      <c r="F36" s="85">
        <f>'5-4 Int Hg in Industry'!W12</f>
        <v>0</v>
      </c>
      <c r="G36" s="85">
        <f>'5-4 Int Hg in Industry'!X12</f>
        <v>0</v>
      </c>
      <c r="H36" s="85">
        <f>'5-4 Int Hg in Industry'!Y12</f>
        <v>0</v>
      </c>
      <c r="I36" s="85">
        <f>'5-4 Int Hg in Industry'!Z12</f>
        <v>0</v>
      </c>
      <c r="J36" s="85">
        <f>'5-4 Int Hg in Industry'!AA12</f>
        <v>0</v>
      </c>
      <c r="K36" s="219"/>
    </row>
    <row r="37" spans="1:11" ht="12.75">
      <c r="A37" s="56"/>
      <c r="B37" s="113" t="str">
        <f>'5-4 Int Hg in Industry'!B14</f>
        <v>5.4.4</v>
      </c>
      <c r="C37" s="285" t="str">
        <f>'5-4 Int Hg in Industry'!C14</f>
        <v>Other production of chemicals and polymers with mercury</v>
      </c>
      <c r="D37" s="77">
        <f>'5-4 Int Hg in Industry'!D14</f>
        <v>0</v>
      </c>
      <c r="E37" s="85" t="e">
        <f>'5-4 Int Hg in Industry'!V14</f>
        <v>#VALUE!</v>
      </c>
      <c r="F37" s="85" t="e">
        <f>'5-4 Int Hg in Industry'!W14</f>
        <v>#VALUE!</v>
      </c>
      <c r="G37" s="85" t="e">
        <f>'5-4 Int Hg in Industry'!X14</f>
        <v>#VALUE!</v>
      </c>
      <c r="H37" s="85" t="e">
        <f>'5-4 Int Hg in Industry'!Y14</f>
        <v>#VALUE!</v>
      </c>
      <c r="I37" s="85" t="e">
        <f>'5-4 Int Hg in Industry'!Z14</f>
        <v>#VALUE!</v>
      </c>
      <c r="J37" s="85" t="e">
        <f>'5-4 Int Hg in Industry'!AA14</f>
        <v>#VALUE!</v>
      </c>
      <c r="K37" s="219"/>
    </row>
    <row r="38" spans="1:11" ht="25.5">
      <c r="A38" s="57" t="str">
        <f>'5-5 Cons prod'!A5</f>
        <v>5.5</v>
      </c>
      <c r="B38" s="57"/>
      <c r="C38" s="57" t="str">
        <f>'5-5 Cons prod'!C5</f>
        <v>Source category: Consumer products with intentional use of mercury</v>
      </c>
      <c r="D38" s="77"/>
      <c r="E38" s="85"/>
      <c r="F38" s="85"/>
      <c r="G38" s="85"/>
      <c r="H38" s="86"/>
      <c r="I38" s="85"/>
      <c r="J38" s="85"/>
      <c r="K38" s="219"/>
    </row>
    <row r="39" spans="1:11" ht="12.75">
      <c r="A39" s="57"/>
      <c r="B39" s="285" t="str">
        <f>'5-5 Cons prod'!B6</f>
        <v>5.5.1</v>
      </c>
      <c r="C39" s="285" t="str">
        <f>'5-5 Cons prod'!C6</f>
        <v>Thermometers with mercury</v>
      </c>
      <c r="D39" s="77">
        <f>'5-5 Cons prod'!D6</f>
        <v>0</v>
      </c>
      <c r="E39" s="85">
        <f>'5-5 Cons prod'!V6</f>
        <v>0</v>
      </c>
      <c r="F39" s="85">
        <f>'5-5 Cons prod'!W6</f>
        <v>0</v>
      </c>
      <c r="G39" s="85">
        <f>'5-5 Cons prod'!X6</f>
        <v>0</v>
      </c>
      <c r="H39" s="86" t="s">
        <v>282</v>
      </c>
      <c r="I39" s="85">
        <f>'5-5 Cons prod'!Z6</f>
        <v>0</v>
      </c>
      <c r="J39" s="85">
        <f>'5-5 Cons prod'!AA6</f>
        <v>0</v>
      </c>
      <c r="K39" s="219"/>
    </row>
    <row r="40" spans="1:11" ht="12.75">
      <c r="A40" s="57"/>
      <c r="B40" s="285" t="str">
        <f>'5-5 Cons prod'!B18</f>
        <v>5.5.2</v>
      </c>
      <c r="C40" s="285" t="str">
        <f>'5-5 Cons prod'!C18</f>
        <v>Electrical switches and relays with mercury</v>
      </c>
      <c r="D40" s="77">
        <f>'5-5 Cons prod'!D18</f>
        <v>0</v>
      </c>
      <c r="E40" s="85">
        <f>'5-5 Cons prod'!V18</f>
        <v>0</v>
      </c>
      <c r="F40" s="85">
        <f>'5-5 Cons prod'!W18</f>
        <v>0</v>
      </c>
      <c r="G40" s="85">
        <f>'5-5 Cons prod'!X18</f>
        <v>0</v>
      </c>
      <c r="H40" s="86" t="s">
        <v>282</v>
      </c>
      <c r="I40" s="85">
        <f>'5-5 Cons prod'!Z18</f>
        <v>0</v>
      </c>
      <c r="J40" s="85">
        <f>'5-5 Cons prod'!AA18</f>
        <v>0</v>
      </c>
      <c r="K40" s="219"/>
    </row>
    <row r="41" spans="1:11" ht="12.75">
      <c r="A41" s="57"/>
      <c r="B41" s="285" t="str">
        <f>'5-5 Cons prod'!B25</f>
        <v>5.5.3</v>
      </c>
      <c r="C41" s="285" t="str">
        <f>'5-5 Cons prod'!C25</f>
        <v>Light sources with mercury</v>
      </c>
      <c r="D41" s="77">
        <f>'5-5 Cons prod'!D25</f>
        <v>0</v>
      </c>
      <c r="E41" s="85">
        <f>'5-5 Cons prod'!V25</f>
        <v>0</v>
      </c>
      <c r="F41" s="85">
        <f>'5-5 Cons prod'!W25</f>
        <v>0</v>
      </c>
      <c r="G41" s="85">
        <f>'5-5 Cons prod'!X25</f>
        <v>0</v>
      </c>
      <c r="H41" s="86" t="s">
        <v>282</v>
      </c>
      <c r="I41" s="85">
        <f>'5-5 Cons prod'!Z25</f>
        <v>0</v>
      </c>
      <c r="J41" s="85">
        <f>'5-5 Cons prod'!AA25</f>
        <v>0</v>
      </c>
      <c r="K41" s="219"/>
    </row>
    <row r="42" spans="1:11" ht="12.75">
      <c r="A42" s="57"/>
      <c r="B42" s="285" t="str">
        <f>'5-5 Cons prod'!B35</f>
        <v>5.5.4</v>
      </c>
      <c r="C42" s="285" t="str">
        <f>'5-5 Cons prod'!C35</f>
        <v>Batteries with mercury</v>
      </c>
      <c r="D42" s="77">
        <f>'5-5 Cons prod'!D35</f>
        <v>0</v>
      </c>
      <c r="E42" s="85">
        <f>'5-5 Cons prod'!V35</f>
        <v>0</v>
      </c>
      <c r="F42" s="85">
        <f>'5-5 Cons prod'!W35</f>
        <v>0</v>
      </c>
      <c r="G42" s="85">
        <f>'5-5 Cons prod'!X35</f>
        <v>0</v>
      </c>
      <c r="H42" s="86" t="s">
        <v>282</v>
      </c>
      <c r="I42" s="85">
        <f>'5-5 Cons prod'!Z35</f>
        <v>0</v>
      </c>
      <c r="J42" s="85">
        <f>'5-5 Cons prod'!AA35</f>
        <v>0</v>
      </c>
      <c r="K42" s="219"/>
    </row>
    <row r="43" spans="1:11" ht="12.75">
      <c r="A43" s="57"/>
      <c r="B43" s="285" t="str">
        <f>'5-5 Cons prod'!B54</f>
        <v>5.5.6</v>
      </c>
      <c r="C43" s="285" t="str">
        <f>'5-5 Cons prod'!C54</f>
        <v>Biocides and pesticides with mercury</v>
      </c>
      <c r="D43" s="77">
        <f>'5-5 Cons prod'!D54</f>
        <v>0</v>
      </c>
      <c r="E43" s="85">
        <f>'5-5 Cons prod'!V54</f>
        <v>0</v>
      </c>
      <c r="F43" s="85">
        <f>'5-5 Cons prod'!W54</f>
        <v>0</v>
      </c>
      <c r="G43" s="85">
        <f>'5-5 Cons prod'!X54</f>
        <v>0</v>
      </c>
      <c r="H43" s="86" t="s">
        <v>282</v>
      </c>
      <c r="I43" s="85">
        <f>'5-5 Cons prod'!Z54</f>
        <v>0</v>
      </c>
      <c r="J43" s="85">
        <f>'5-5 Cons prod'!AA54</f>
        <v>0</v>
      </c>
      <c r="K43" s="219"/>
    </row>
    <row r="44" spans="1:11" ht="12.75">
      <c r="A44" s="57"/>
      <c r="B44" s="285" t="str">
        <f>'5-5 Cons prod'!B58</f>
        <v>5.5.7</v>
      </c>
      <c r="C44" s="285" t="str">
        <f>'5-5 Cons prod'!C58</f>
        <v>Paints with mercury</v>
      </c>
      <c r="D44" s="77">
        <f>'5-5 Cons prod'!D58</f>
        <v>0</v>
      </c>
      <c r="E44" s="85">
        <f>'5-5 Cons prod'!V58</f>
        <v>0</v>
      </c>
      <c r="F44" s="85">
        <f>'5-5 Cons prod'!W58</f>
        <v>0</v>
      </c>
      <c r="G44" s="85">
        <f>'5-5 Cons prod'!X58</f>
        <v>0</v>
      </c>
      <c r="H44" s="86" t="s">
        <v>282</v>
      </c>
      <c r="I44" s="85">
        <f>'5-5 Cons prod'!Z58</f>
        <v>0</v>
      </c>
      <c r="J44" s="85">
        <f>'5-5 Cons prod'!AA58</f>
        <v>0</v>
      </c>
      <c r="K44" s="219"/>
    </row>
    <row r="45" spans="1:11" ht="12.75">
      <c r="A45" s="57"/>
      <c r="B45" s="285" t="str">
        <f>'5-5 Cons prod'!B62</f>
        <v>5.5.8</v>
      </c>
      <c r="C45" s="285" t="str">
        <f>'5-5 Cons prod'!C62</f>
        <v>Cosmetics and related products with mercury</v>
      </c>
      <c r="D45" s="77">
        <f>'5-5 Cons prod'!D62</f>
        <v>0</v>
      </c>
      <c r="E45" s="85">
        <f>'5-5 Cons prod'!V62</f>
        <v>0</v>
      </c>
      <c r="F45" s="85">
        <f>'5-5 Cons prod'!W62</f>
        <v>0</v>
      </c>
      <c r="G45" s="85">
        <f>'5-5 Cons prod'!X62</f>
        <v>0</v>
      </c>
      <c r="H45" s="86" t="s">
        <v>282</v>
      </c>
      <c r="I45" s="85">
        <f>'5-5 Cons prod'!Z62</f>
        <v>0</v>
      </c>
      <c r="J45" s="85">
        <f>'5-5 Cons prod'!AA62</f>
        <v>0</v>
      </c>
      <c r="K45" s="219"/>
    </row>
    <row r="46" spans="1:11" ht="12.75">
      <c r="A46" s="57" t="str">
        <f>'5-6 Other int use'!A5</f>
        <v>5.6</v>
      </c>
      <c r="B46" s="57"/>
      <c r="C46" s="57" t="str">
        <f>'5-6 Other int use'!C5</f>
        <v>Source category: Other intentional product/process use</v>
      </c>
      <c r="D46" s="77"/>
      <c r="E46" s="85"/>
      <c r="F46" s="85"/>
      <c r="G46" s="85"/>
      <c r="H46" s="85"/>
      <c r="I46" s="85"/>
      <c r="J46" s="85"/>
      <c r="K46" s="219"/>
    </row>
    <row r="47" spans="1:11" ht="12.75">
      <c r="A47" s="57"/>
      <c r="B47" s="285" t="str">
        <f>'5-6 Other int use'!B6</f>
        <v>5.6.1</v>
      </c>
      <c r="C47" s="285" t="str">
        <f>'5-6 Other int use'!C6</f>
        <v>Dental mercury-amalgam fillings (b</v>
      </c>
      <c r="D47" s="77">
        <f>'5-6 Other int use'!D6</f>
        <v>0</v>
      </c>
      <c r="E47" s="85">
        <f>'5-6 Other int use'!V6</f>
        <v>0</v>
      </c>
      <c r="F47" s="85">
        <f>'5-6 Other int use'!W6</f>
        <v>0</v>
      </c>
      <c r="G47" s="85">
        <f>'5-6 Other int use'!X6</f>
        <v>0</v>
      </c>
      <c r="H47" s="85">
        <f>'5-6 Other int use'!Y6</f>
        <v>0</v>
      </c>
      <c r="I47" s="85">
        <f>'5-6 Other int use'!Z6</f>
        <v>0</v>
      </c>
      <c r="J47" s="85">
        <f>'5-6 Other int use'!AA6</f>
        <v>0</v>
      </c>
      <c r="K47" s="219"/>
    </row>
    <row r="48" spans="1:11" ht="12.75">
      <c r="A48" s="57"/>
      <c r="B48" s="285" t="str">
        <f>'5-6 Other int use'!B13</f>
        <v>5.6.2</v>
      </c>
      <c r="C48" s="285" t="str">
        <f>'5-6 Other int use'!C13</f>
        <v>Manometers and gauges with mercury</v>
      </c>
      <c r="D48" s="77">
        <f>'5-6 Other int use'!D13</f>
        <v>0</v>
      </c>
      <c r="E48" s="85">
        <f>'5-6 Other int use'!V13</f>
        <v>0</v>
      </c>
      <c r="F48" s="85">
        <f>'5-6 Other int use'!W13</f>
        <v>0</v>
      </c>
      <c r="G48" s="85">
        <f>'5-6 Other int use'!X13</f>
        <v>0</v>
      </c>
      <c r="H48" s="85">
        <f>'5-6 Other int use'!Y13</f>
        <v>0</v>
      </c>
      <c r="I48" s="85">
        <f>'5-6 Other int use'!Z13</f>
        <v>0</v>
      </c>
      <c r="J48" s="85">
        <f>'5-6 Other int use'!AA13</f>
        <v>0</v>
      </c>
      <c r="K48" s="219"/>
    </row>
    <row r="49" spans="1:11" ht="12.75">
      <c r="A49" s="57"/>
      <c r="B49" s="285" t="str">
        <f>'5-6 Other int use'!B35</f>
        <v>5.6.3</v>
      </c>
      <c r="C49" s="285" t="str">
        <f>'5-6 Other int use'!C35</f>
        <v>Laboratory chemicals and equipment with mercury</v>
      </c>
      <c r="D49" s="77">
        <f>'5-6 Other int use'!D35</f>
        <v>0</v>
      </c>
      <c r="E49" s="85">
        <f>'5-6 Other int use'!V35</f>
        <v>0</v>
      </c>
      <c r="F49" s="85">
        <f>'5-6 Other int use'!W35</f>
        <v>0</v>
      </c>
      <c r="G49" s="85">
        <f>'5-6 Other int use'!X35</f>
        <v>0</v>
      </c>
      <c r="H49" s="85">
        <f>'5-6 Other int use'!Y35</f>
        <v>0</v>
      </c>
      <c r="I49" s="85">
        <f>'5-6 Other int use'!Z35</f>
        <v>0</v>
      </c>
      <c r="J49" s="85">
        <f>'5-6 Other int use'!AA35</f>
        <v>0</v>
      </c>
      <c r="K49" s="219"/>
    </row>
    <row r="50" spans="1:11" ht="12.75">
      <c r="A50" s="57"/>
      <c r="B50" s="285" t="str">
        <f>'5-6 Other int use'!B51</f>
        <v>5.6.4</v>
      </c>
      <c r="C50" s="285" t="str">
        <f>'5-6 Other int use'!C51</f>
        <v>Mercury metal use in religious rituals and folklore medicine</v>
      </c>
      <c r="D50" s="77">
        <f>'5-6 Other int use'!D51</f>
        <v>0</v>
      </c>
      <c r="E50" s="85">
        <f>'5-6 Other int use'!V51</f>
        <v>0</v>
      </c>
      <c r="F50" s="85">
        <f>'5-6 Other int use'!W51</f>
        <v>0</v>
      </c>
      <c r="G50" s="85">
        <f>'5-6 Other int use'!X51</f>
        <v>0</v>
      </c>
      <c r="H50" s="85">
        <f>'5-6 Other int use'!Y51</f>
        <v>0</v>
      </c>
      <c r="I50" s="85">
        <f>'5-6 Other int use'!Z51</f>
        <v>0</v>
      </c>
      <c r="J50" s="85">
        <f>'5-6 Other int use'!AA51</f>
        <v>0</v>
      </c>
      <c r="K50" s="219"/>
    </row>
    <row r="51" spans="1:11" ht="25.5">
      <c r="A51" s="57"/>
      <c r="B51" s="285" t="str">
        <f>'5-6 Other int use'!B53</f>
        <v>5.6.5</v>
      </c>
      <c r="C51" s="285" t="str">
        <f>'5-6 Other int use'!C53</f>
        <v>Miscellaneous product uses, mercury metal uses, and other sources</v>
      </c>
      <c r="D51" s="77">
        <f>'5-6 Other int use'!D53</f>
        <v>0</v>
      </c>
      <c r="E51" s="85">
        <f>'5-6 Other int use'!V53</f>
        <v>0</v>
      </c>
      <c r="F51" s="85">
        <f>'5-6 Other int use'!W53</f>
        <v>0</v>
      </c>
      <c r="G51" s="85">
        <f>'5-6 Other int use'!X53</f>
        <v>0</v>
      </c>
      <c r="H51" s="85">
        <f>'5-6 Other int use'!Y53</f>
        <v>0</v>
      </c>
      <c r="I51" s="85">
        <f>'5-6 Other int use'!Z53</f>
        <v>0</v>
      </c>
      <c r="J51" s="85">
        <f>'5-6 Other int use'!AA53</f>
        <v>0</v>
      </c>
      <c r="K51" s="219"/>
    </row>
    <row r="52" spans="1:11" ht="25.5">
      <c r="A52" s="56" t="str">
        <f>'5-7 Recycl metals'!A5</f>
        <v>5.7</v>
      </c>
      <c r="B52" s="56"/>
      <c r="C52" s="57" t="str">
        <f>'5-7 Recycl metals'!C5</f>
        <v>Source category: Production of recycled metals ("secondary" metal production)</v>
      </c>
      <c r="D52" s="77"/>
      <c r="E52" s="85"/>
      <c r="F52" s="85"/>
      <c r="G52" s="85"/>
      <c r="H52" s="85"/>
      <c r="I52" s="85"/>
      <c r="J52" s="85"/>
      <c r="K52" s="219"/>
    </row>
    <row r="53" spans="1:11" ht="12.75">
      <c r="A53" s="56"/>
      <c r="B53" s="113" t="str">
        <f>'5-7 Recycl metals'!B6</f>
        <v>5.7.1</v>
      </c>
      <c r="C53" s="285" t="str">
        <f>'5-7 Recycl metals'!C6</f>
        <v>Production of recycled mercury ("secondary production”)</v>
      </c>
      <c r="D53" s="77">
        <f>'5-7 Recycl metals'!D6</f>
        <v>0</v>
      </c>
      <c r="E53" s="85">
        <f>'5-7 Recycl metals'!V6</f>
        <v>0</v>
      </c>
      <c r="F53" s="85">
        <f>'5-7 Recycl metals'!W6</f>
        <v>0</v>
      </c>
      <c r="G53" s="85">
        <f>'5-7 Recycl metals'!X6</f>
        <v>0</v>
      </c>
      <c r="H53" s="85" t="str">
        <f>'5-7 Recycl metals'!Y6</f>
        <v>-</v>
      </c>
      <c r="I53" s="85">
        <f>'5-7 Recycl metals'!Z6</f>
        <v>0</v>
      </c>
      <c r="J53" s="85">
        <f>'5-7 Recycl metals'!AA6</f>
        <v>0</v>
      </c>
      <c r="K53" s="219"/>
    </row>
    <row r="54" spans="1:11" ht="12.75">
      <c r="A54" s="56"/>
      <c r="B54" s="113" t="str">
        <f>'5-7 Recycl metals'!B8</f>
        <v>5.4.2</v>
      </c>
      <c r="C54" s="285" t="str">
        <f>'5-7 Recycl metals'!C8</f>
        <v>Production of recycled ferrous metals (iron and steel)</v>
      </c>
      <c r="D54" s="77">
        <f>'5-7 Recycl metals'!D8</f>
        <v>0</v>
      </c>
      <c r="E54" s="85">
        <f>'5-7 Recycl metals'!V8</f>
        <v>0</v>
      </c>
      <c r="F54" s="85">
        <f>'5-7 Recycl metals'!W8</f>
        <v>0</v>
      </c>
      <c r="G54" s="85">
        <f>'5-7 Recycl metals'!X8</f>
        <v>0</v>
      </c>
      <c r="H54" s="85">
        <f>'5-7 Recycl metals'!Y8</f>
        <v>0</v>
      </c>
      <c r="I54" s="85">
        <f>'5-7 Recycl metals'!Z8</f>
        <v>0</v>
      </c>
      <c r="J54" s="85">
        <f>'5-7 Recycl metals'!AA8</f>
        <v>0</v>
      </c>
      <c r="K54" s="219"/>
    </row>
    <row r="55" spans="1:11" ht="12.75">
      <c r="A55" s="56"/>
      <c r="B55" s="113" t="str">
        <f>'5-7 Recycl metals'!B10</f>
        <v>5.4.2</v>
      </c>
      <c r="C55" s="285" t="str">
        <f>'5-7 Recycl metals'!C10</f>
        <v>Production of other recycled metals</v>
      </c>
      <c r="D55" s="77">
        <f>'5-7 Recycl metals'!D10</f>
        <v>0</v>
      </c>
      <c r="E55" s="85">
        <f>'5-7 Recycl metals'!V10</f>
        <v>0</v>
      </c>
      <c r="F55" s="85">
        <f>'5-7 Recycl metals'!W10</f>
        <v>0</v>
      </c>
      <c r="G55" s="85">
        <f>'5-7 Recycl metals'!X10</f>
        <v>0</v>
      </c>
      <c r="H55" s="85">
        <f>'5-7 Recycl metals'!Y10</f>
        <v>0</v>
      </c>
      <c r="I55" s="85">
        <f>'5-7 Recycl metals'!Z10</f>
        <v>0</v>
      </c>
      <c r="J55" s="85">
        <f>'5-7 Recycl metals'!AA10</f>
        <v>0</v>
      </c>
      <c r="K55" s="219"/>
    </row>
    <row r="56" spans="1:11" ht="12.75">
      <c r="A56" s="56" t="str">
        <f>'5-8 Waste incin'!A5</f>
        <v>5.8</v>
      </c>
      <c r="B56" s="56"/>
      <c r="C56" s="56" t="str">
        <f>'5-8 Waste incin'!C5</f>
        <v>Source category: Waste incineration</v>
      </c>
      <c r="D56" s="77"/>
      <c r="E56" s="85"/>
      <c r="F56" s="85"/>
      <c r="G56" s="85"/>
      <c r="H56" s="85"/>
      <c r="I56" s="85"/>
      <c r="J56" s="85"/>
      <c r="K56" s="219"/>
    </row>
    <row r="57" spans="1:11" ht="12.75">
      <c r="A57" s="56"/>
      <c r="B57" s="113" t="str">
        <f>'5-8 Waste incin'!B6</f>
        <v>5.8.1</v>
      </c>
      <c r="C57" s="113" t="str">
        <f>'5-8 Waste incin'!C6</f>
        <v>Incineration of municipal/general waste</v>
      </c>
      <c r="D57" s="77">
        <f>'5-8 Waste incin'!D6</f>
        <v>0</v>
      </c>
      <c r="E57" s="85">
        <f>'5-8 Waste incin'!V6</f>
        <v>0</v>
      </c>
      <c r="F57" s="85">
        <f>'5-8 Waste incin'!W6</f>
        <v>0</v>
      </c>
      <c r="G57" s="85">
        <f>'5-8 Waste incin'!X6</f>
        <v>0</v>
      </c>
      <c r="H57" s="85">
        <f>'5-8 Waste incin'!Y6</f>
        <v>0</v>
      </c>
      <c r="I57" s="85">
        <f>'5-8 Waste incin'!Z6</f>
        <v>0</v>
      </c>
      <c r="J57" s="85">
        <f>'5-8 Waste incin'!AA6</f>
        <v>0</v>
      </c>
      <c r="K57" s="219"/>
    </row>
    <row r="58" spans="1:11" ht="12.75">
      <c r="A58" s="56"/>
      <c r="B58" s="113" t="str">
        <f>'5-8 Waste incin'!B12</f>
        <v>5.8.2</v>
      </c>
      <c r="C58" s="113" t="str">
        <f>'5-8 Waste incin'!C12</f>
        <v>Incineration of hazardous waste</v>
      </c>
      <c r="D58" s="77">
        <f>'5-8 Waste incin'!D12</f>
        <v>0</v>
      </c>
      <c r="E58" s="85">
        <f>'5-8 Waste incin'!V12</f>
        <v>0</v>
      </c>
      <c r="F58" s="85">
        <f>'5-8 Waste incin'!W12</f>
        <v>0</v>
      </c>
      <c r="G58" s="85">
        <f>'5-8 Waste incin'!X12</f>
        <v>0</v>
      </c>
      <c r="H58" s="85">
        <f>'5-8 Waste incin'!Y12</f>
        <v>0</v>
      </c>
      <c r="I58" s="85">
        <f>'5-8 Waste incin'!Z12</f>
        <v>0</v>
      </c>
      <c r="J58" s="85">
        <f>'5-8 Waste incin'!AA12</f>
        <v>0</v>
      </c>
      <c r="K58" s="219"/>
    </row>
    <row r="59" spans="1:11" ht="12.75">
      <c r="A59" s="56"/>
      <c r="B59" s="113" t="str">
        <f>'5-8 Waste incin'!B18</f>
        <v>5.8.3</v>
      </c>
      <c r="C59" s="113" t="str">
        <f>'5-8 Waste incin'!C18</f>
        <v>Incineration of medical waste</v>
      </c>
      <c r="D59" s="77">
        <f>'5-8 Waste incin'!D18</f>
        <v>0</v>
      </c>
      <c r="E59" s="85">
        <f>'5-8 Waste incin'!V18</f>
        <v>0</v>
      </c>
      <c r="F59" s="85">
        <f>'5-8 Waste incin'!W18</f>
        <v>0</v>
      </c>
      <c r="G59" s="85">
        <f>'5-8 Waste incin'!X18</f>
        <v>0</v>
      </c>
      <c r="H59" s="85">
        <f>'5-8 Waste incin'!Y18</f>
        <v>0</v>
      </c>
      <c r="I59" s="85">
        <f>'5-8 Waste incin'!Z18</f>
        <v>0</v>
      </c>
      <c r="J59" s="85">
        <f>'5-8 Waste incin'!AA18</f>
        <v>0</v>
      </c>
      <c r="K59" s="219"/>
    </row>
    <row r="60" spans="1:11" ht="12.75">
      <c r="A60" s="56"/>
      <c r="B60" s="113" t="str">
        <f>'5-8 Waste incin'!B24</f>
        <v>5.8.4</v>
      </c>
      <c r="C60" s="113" t="str">
        <f>'5-8 Waste incin'!C24</f>
        <v>Sewage sludge incineration</v>
      </c>
      <c r="D60" s="77">
        <f>'5-8 Waste incin'!D24</f>
        <v>0</v>
      </c>
      <c r="E60" s="85">
        <f>'5-8 Waste incin'!V24</f>
        <v>0</v>
      </c>
      <c r="F60" s="85">
        <f>'5-8 Waste incin'!W24</f>
        <v>0</v>
      </c>
      <c r="G60" s="85">
        <f>'5-8 Waste incin'!X24</f>
        <v>0</v>
      </c>
      <c r="H60" s="85">
        <f>'5-8 Waste incin'!Y24</f>
        <v>0</v>
      </c>
      <c r="I60" s="85">
        <f>'5-8 Waste incin'!Z24</f>
        <v>0</v>
      </c>
      <c r="J60" s="85">
        <f>'5-8 Waste incin'!AA24</f>
        <v>0</v>
      </c>
      <c r="K60" s="219"/>
    </row>
    <row r="61" spans="1:11" ht="12.75">
      <c r="A61" s="56"/>
      <c r="B61" s="113" t="str">
        <f>'5-8 Waste incin'!B26</f>
        <v>5.8.5</v>
      </c>
      <c r="C61" s="113" t="str">
        <f>'5-8 Waste incin'!C26</f>
        <v>Informal waste burning</v>
      </c>
      <c r="D61" s="77">
        <f>'5-8 Waste incin'!D26</f>
        <v>0</v>
      </c>
      <c r="E61" s="85">
        <f>'5-8 Waste incin'!V26</f>
        <v>0</v>
      </c>
      <c r="F61" s="85">
        <f>'5-8 Waste incin'!W26</f>
        <v>0</v>
      </c>
      <c r="G61" s="85">
        <f>'5-8 Waste incin'!X26</f>
        <v>0</v>
      </c>
      <c r="H61" s="85">
        <f>'5-8 Waste incin'!Y26</f>
        <v>0</v>
      </c>
      <c r="I61" s="85">
        <f>'5-8 Waste incin'!Z26</f>
        <v>0</v>
      </c>
      <c r="J61" s="85">
        <f>'5-8 Waste incin'!AA26</f>
        <v>0</v>
      </c>
      <c r="K61" s="219"/>
    </row>
    <row r="62" spans="1:11" ht="25.5">
      <c r="A62" s="57" t="str">
        <f>'5-9 Waste depo and water treatm'!A5</f>
        <v>5.9</v>
      </c>
      <c r="B62" s="57"/>
      <c r="C62" s="57" t="str">
        <f>'5-9 Waste depo and water treatm'!C5</f>
        <v>Source category: Waste deposition/landfilling and waste water treatment</v>
      </c>
      <c r="D62" s="77"/>
      <c r="E62" s="85"/>
      <c r="F62" s="85"/>
      <c r="G62" s="85"/>
      <c r="H62" s="85"/>
      <c r="I62" s="85"/>
      <c r="J62" s="85"/>
      <c r="K62" s="219"/>
    </row>
    <row r="63" spans="1:11" ht="12.75">
      <c r="A63" s="57"/>
      <c r="B63" s="285" t="str">
        <f>'5-9 Waste depo and water treatm'!B6</f>
        <v>5.9.1</v>
      </c>
      <c r="C63" s="285" t="str">
        <f>'5-9 Waste depo and water treatm'!C6</f>
        <v>Controlled landfills/deposits (a</v>
      </c>
      <c r="D63" s="77">
        <f>'5-9 Waste depo and water treatm'!D6</f>
        <v>0</v>
      </c>
      <c r="E63" s="85">
        <f>'5-9 Waste depo and water treatm'!V6</f>
        <v>0</v>
      </c>
      <c r="F63" s="85">
        <f>'5-9 Waste depo and water treatm'!W6</f>
        <v>0</v>
      </c>
      <c r="G63" s="85">
        <f>'5-9 Waste depo and water treatm'!X6</f>
        <v>0</v>
      </c>
      <c r="H63" s="85" t="str">
        <f>'5-9 Waste depo and water treatm'!Y6</f>
        <v>-</v>
      </c>
      <c r="I63" s="85" t="str">
        <f>'5-9 Waste depo and water treatm'!Z6</f>
        <v>-</v>
      </c>
      <c r="J63" s="85" t="str">
        <f>'5-9 Waste depo and water treatm'!AA6</f>
        <v>-</v>
      </c>
      <c r="K63" s="219"/>
    </row>
    <row r="64" spans="1:11" ht="38.25">
      <c r="A64" s="57"/>
      <c r="B64" s="285" t="str">
        <f>'5-9 Waste depo and water treatm'!B8</f>
        <v>5.9.2</v>
      </c>
      <c r="C64" s="285" t="str">
        <f>'5-9 Waste depo and water treatm'!C8</f>
        <v>Diffuse disposal under some control</v>
      </c>
      <c r="D64" s="77" t="str">
        <f>'5-9 Waste depo and water treatm'!D8</f>
        <v>-</v>
      </c>
      <c r="E64" s="85" t="str">
        <f>'5-9 Waste depo and water treatm'!V8</f>
        <v>-</v>
      </c>
      <c r="F64" s="85" t="str">
        <f>'5-9 Waste depo and water treatm'!W8</f>
        <v>-</v>
      </c>
      <c r="G64" s="85" t="str">
        <f>'5-9 Waste depo and water treatm'!X8</f>
        <v>-</v>
      </c>
      <c r="H64" s="85" t="str">
        <f>'5-9 Waste depo and water treatm'!Y8</f>
        <v>-</v>
      </c>
      <c r="I64" s="85" t="str">
        <f>'5-9 Waste depo and water treatm'!Z8</f>
        <v>-</v>
      </c>
      <c r="J64" s="85" t="str">
        <f>'5-9 Waste depo and water treatm'!AA8</f>
        <v>-</v>
      </c>
      <c r="K64" s="219" t="str">
        <f>'5-9 Waste depo and water treatm'!C9</f>
        <v>This source category is expected covered under the original sources of the mercury containing material, under det output path "sector specific treatment/disposal accompanied by a descriptive note; e.g. solid residues from waste incineration or metal extraction.</v>
      </c>
    </row>
    <row r="65" spans="1:11" ht="12.75">
      <c r="A65" s="57"/>
      <c r="B65" s="285" t="str">
        <f>'5-9 Waste depo and water treatm'!B11</f>
        <v>5.9.3</v>
      </c>
      <c r="C65" s="285" t="str">
        <f>'5-9 Waste depo and water treatm'!C11</f>
        <v>Informal local disposal of industrial production waste</v>
      </c>
      <c r="D65" s="77">
        <f>'5-9 Waste depo and water treatm'!D11</f>
        <v>0</v>
      </c>
      <c r="E65" s="85" t="e">
        <f>'5-9 Waste depo and water treatm'!V11</f>
        <v>#VALUE!</v>
      </c>
      <c r="F65" s="85" t="e">
        <f>'5-9 Waste depo and water treatm'!W11</f>
        <v>#VALUE!</v>
      </c>
      <c r="G65" s="85" t="e">
        <f>'5-9 Waste depo and water treatm'!X11</f>
        <v>#VALUE!</v>
      </c>
      <c r="H65" s="85" t="str">
        <f>'5-9 Waste depo and water treatm'!Y11</f>
        <v>-</v>
      </c>
      <c r="I65" s="85" t="str">
        <f>'5-9 Waste depo and water treatm'!Z11</f>
        <v>-</v>
      </c>
      <c r="J65" s="85" t="str">
        <f>'5-9 Waste depo and water treatm'!AA11</f>
        <v>-</v>
      </c>
      <c r="K65" s="219"/>
    </row>
    <row r="66" spans="1:11" ht="12.75">
      <c r="A66" s="57"/>
      <c r="B66" s="285" t="str">
        <f>'5-9 Waste depo and water treatm'!B13</f>
        <v>5.9.4</v>
      </c>
      <c r="C66" s="285" t="str">
        <f>'5-9 Waste depo and water treatm'!C13</f>
        <v>Informal dumping of general waste (b</v>
      </c>
      <c r="D66" s="77">
        <f>'5-9 Waste depo and water treatm'!D13</f>
        <v>0</v>
      </c>
      <c r="E66" s="85">
        <f>'5-9 Waste depo and water treatm'!V13</f>
        <v>0</v>
      </c>
      <c r="F66" s="85">
        <f>'5-9 Waste depo and water treatm'!W13</f>
        <v>0</v>
      </c>
      <c r="G66" s="85">
        <f>'5-9 Waste depo and water treatm'!X13</f>
        <v>0</v>
      </c>
      <c r="H66" s="85" t="str">
        <f>'5-9 Waste depo and water treatm'!Y13</f>
        <v>-</v>
      </c>
      <c r="I66" s="85" t="str">
        <f>'5-9 Waste depo and water treatm'!Z13</f>
        <v>-</v>
      </c>
      <c r="J66" s="85" t="str">
        <f>'5-9 Waste depo and water treatm'!AA13</f>
        <v>-</v>
      </c>
      <c r="K66" s="219"/>
    </row>
    <row r="67" spans="1:11" ht="12.75">
      <c r="A67" s="57"/>
      <c r="B67" s="285" t="str">
        <f>'5-9 Waste depo and water treatm'!B15</f>
        <v>5.9.5</v>
      </c>
      <c r="C67" s="285" t="str">
        <f>'5-9 Waste depo and water treatm'!C15</f>
        <v>Waste water system/treatment</v>
      </c>
      <c r="D67" s="77">
        <f>'5-9 Waste depo and water treatm'!D15</f>
        <v>0</v>
      </c>
      <c r="E67" s="85">
        <f>'5-9 Waste depo and water treatm'!V15</f>
        <v>0</v>
      </c>
      <c r="F67" s="85">
        <f>'5-9 Waste depo and water treatm'!W15</f>
        <v>0</v>
      </c>
      <c r="G67" s="85">
        <f>'5-9 Waste depo and water treatm'!X15</f>
        <v>0</v>
      </c>
      <c r="H67" s="85">
        <f>'5-9 Waste depo and water treatm'!Y15</f>
        <v>0</v>
      </c>
      <c r="I67" s="85">
        <f>'5-9 Waste depo and water treatm'!Z15</f>
        <v>0</v>
      </c>
      <c r="J67" s="85">
        <f>'5-9 Waste depo and water treatm'!AA15</f>
        <v>0</v>
      </c>
      <c r="K67" s="219"/>
    </row>
    <row r="68" spans="1:11" ht="12.75">
      <c r="A68" s="56" t="str">
        <f>'5-10 Cremat and cem'!A5</f>
        <v>5.10</v>
      </c>
      <c r="B68" s="56"/>
      <c r="C68" s="56" t="str">
        <f>'5-10 Cremat and cem'!C5</f>
        <v>Source category: Crematoria and cemetaries</v>
      </c>
      <c r="D68" s="77"/>
      <c r="E68" s="85"/>
      <c r="F68" s="85"/>
      <c r="G68" s="85"/>
      <c r="H68" s="85"/>
      <c r="I68" s="85"/>
      <c r="J68" s="85"/>
      <c r="K68" s="219"/>
    </row>
    <row r="69" spans="1:11" ht="12.75">
      <c r="A69" s="56"/>
      <c r="B69" s="113" t="str">
        <f>'5-10 Cremat and cem'!B6</f>
        <v>5.10.1</v>
      </c>
      <c r="C69" s="113" t="str">
        <f>'5-10 Cremat and cem'!C6</f>
        <v>Crematoria</v>
      </c>
      <c r="D69" s="77">
        <f>'5-10 Cremat and cem'!D6</f>
        <v>0</v>
      </c>
      <c r="E69" s="85">
        <f>'5-10 Cremat and cem'!V6</f>
        <v>0</v>
      </c>
      <c r="F69" s="85">
        <f>'5-10 Cremat and cem'!W6</f>
        <v>0</v>
      </c>
      <c r="G69" s="85">
        <f>'5-10 Cremat and cem'!X6</f>
        <v>0</v>
      </c>
      <c r="H69" s="85" t="str">
        <f>'5-10 Cremat and cem'!Y6</f>
        <v>-</v>
      </c>
      <c r="I69" s="85">
        <f>'5-10 Cremat and cem'!Z6</f>
        <v>0</v>
      </c>
      <c r="J69" s="85">
        <f>'5-10 Cremat and cem'!AA6</f>
        <v>0</v>
      </c>
      <c r="K69" s="219"/>
    </row>
    <row r="70" spans="1:11" s="229" customFormat="1" ht="13.5" thickBot="1">
      <c r="A70" s="221"/>
      <c r="B70" s="286" t="str">
        <f>'5-10 Cremat and cem'!B8</f>
        <v>5.10.2</v>
      </c>
      <c r="C70" s="286" t="str">
        <f>'5-10 Cremat and cem'!C8</f>
        <v>Cemeteries</v>
      </c>
      <c r="D70" s="227">
        <f>'5-10 Cremat and cem'!D8</f>
        <v>0</v>
      </c>
      <c r="E70" s="227">
        <f>'5-10 Cremat and cem'!V8</f>
        <v>0</v>
      </c>
      <c r="F70" s="227">
        <f>'5-10 Cremat and cem'!W8</f>
        <v>0</v>
      </c>
      <c r="G70" s="227">
        <f>'5-10 Cremat and cem'!X8</f>
        <v>0</v>
      </c>
      <c r="H70" s="227" t="str">
        <f>'5-10 Cremat and cem'!Y8</f>
        <v>-</v>
      </c>
      <c r="I70" s="227">
        <f>'5-10 Cremat and cem'!Z8</f>
        <v>0</v>
      </c>
      <c r="J70" s="227">
        <f>'5-10 Cremat and cem'!AA8</f>
        <v>0</v>
      </c>
      <c r="K70" s="228"/>
    </row>
    <row r="71" spans="1:11" s="222" customFormat="1" ht="13.5" thickBot="1">
      <c r="A71" s="223" t="s">
        <v>31</v>
      </c>
      <c r="B71" s="224"/>
      <c r="C71" s="224"/>
      <c r="D71" s="230" t="s">
        <v>33</v>
      </c>
      <c r="E71" s="225" t="e">
        <f aca="true" t="shared" si="0" ref="E71:J71">SUM(E11:E70)</f>
        <v>#VALUE!</v>
      </c>
      <c r="F71" s="225" t="e">
        <f t="shared" si="0"/>
        <v>#VALUE!</v>
      </c>
      <c r="G71" s="225" t="e">
        <f t="shared" si="0"/>
        <v>#VALUE!</v>
      </c>
      <c r="H71" s="225" t="e">
        <f t="shared" si="0"/>
        <v>#VALUE!</v>
      </c>
      <c r="I71" s="225" t="e">
        <f t="shared" si="0"/>
        <v>#VALUE!</v>
      </c>
      <c r="J71" s="225" t="e">
        <f t="shared" si="0"/>
        <v>#VALUE!</v>
      </c>
      <c r="K71" s="226"/>
    </row>
    <row r="73" spans="2:3" ht="12.75">
      <c r="B73" t="s">
        <v>56</v>
      </c>
      <c r="C73" t="s">
        <v>32</v>
      </c>
    </row>
    <row r="74" ht="12.75">
      <c r="C74" s="231"/>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25.xml><?xml version="1.0" encoding="utf-8"?>
<worksheet xmlns="http://schemas.openxmlformats.org/spreadsheetml/2006/main" xmlns:r="http://schemas.openxmlformats.org/officeDocument/2006/relationships">
  <dimension ref="A1:AB80"/>
  <sheetViews>
    <sheetView zoomScalePageLayoutView="0" workbookViewId="0" topLeftCell="A1">
      <selection activeCell="J22" sqref="J22"/>
    </sheetView>
  </sheetViews>
  <sheetFormatPr defaultColWidth="9.140625" defaultRowHeight="12.75"/>
  <cols>
    <col min="1" max="1" width="3.421875" style="0" customWidth="1"/>
    <col min="2" max="2" width="5.140625" style="0" customWidth="1"/>
    <col min="3" max="3" width="25.8515625" style="0" customWidth="1"/>
    <col min="4" max="4" width="7.421875" style="0" customWidth="1"/>
    <col min="5" max="5" width="10.28125" style="0" customWidth="1"/>
    <col min="6" max="6" width="16.28125" style="0" customWidth="1"/>
    <col min="7" max="7" width="10.140625" style="0" customWidth="1"/>
    <col min="8" max="8" width="19.28125" style="0" customWidth="1"/>
    <col min="9" max="9" width="18.28125" style="242" customWidth="1"/>
    <col min="10" max="10" width="25.28125" style="0" customWidth="1"/>
    <col min="11" max="11" width="10.28125" style="0" bestFit="1" customWidth="1"/>
    <col min="13" max="13" width="27.57421875" style="13" customWidth="1"/>
    <col min="14" max="14" width="9.140625" style="242" customWidth="1"/>
    <col min="21" max="21" width="16.57421875" style="0" customWidth="1"/>
    <col min="26" max="26" width="12.8515625" style="0" customWidth="1"/>
    <col min="27" max="27" width="17.00390625" style="0" customWidth="1"/>
    <col min="28" max="28" width="63.57421875" style="0" customWidth="1"/>
  </cols>
  <sheetData>
    <row r="1" spans="1:27" ht="18">
      <c r="A1" s="1" t="s">
        <v>34</v>
      </c>
      <c r="I1" s="232"/>
      <c r="N1" s="232"/>
      <c r="V1" s="3"/>
      <c r="W1" s="3"/>
      <c r="X1" s="3"/>
      <c r="Y1" s="3"/>
      <c r="Z1" s="3"/>
      <c r="AA1" s="3"/>
    </row>
    <row r="2" spans="1:14" ht="15">
      <c r="A2" s="54" t="s">
        <v>322</v>
      </c>
      <c r="I2" s="232"/>
      <c r="L2" s="48"/>
      <c r="M2" s="48"/>
      <c r="N2" s="232"/>
    </row>
    <row r="3" spans="4:28" s="5" customFormat="1" ht="12.75">
      <c r="D3" s="7"/>
      <c r="E3" s="7"/>
      <c r="F3" s="7"/>
      <c r="G3" s="7"/>
      <c r="H3" s="7"/>
      <c r="I3" s="257"/>
      <c r="J3" s="7"/>
      <c r="K3" s="7"/>
      <c r="L3" s="30"/>
      <c r="M3" s="30"/>
      <c r="N3" s="257"/>
      <c r="O3" s="7"/>
      <c r="P3" s="65" t="s">
        <v>55</v>
      </c>
      <c r="Q3" s="65"/>
      <c r="R3" s="65"/>
      <c r="S3" s="65"/>
      <c r="T3" s="65"/>
      <c r="U3" s="65"/>
      <c r="V3" s="10" t="s">
        <v>54</v>
      </c>
      <c r="W3" s="103"/>
      <c r="X3" s="103"/>
      <c r="Y3" s="103"/>
      <c r="Z3" s="103"/>
      <c r="AA3" s="103"/>
      <c r="AB3" s="65"/>
    </row>
    <row r="4" spans="1:28" s="144" customFormat="1" ht="38.25">
      <c r="A4" s="144" t="s">
        <v>52</v>
      </c>
      <c r="B4" s="144" t="s">
        <v>50</v>
      </c>
      <c r="C4" s="134" t="s">
        <v>59</v>
      </c>
      <c r="D4" s="112" t="s">
        <v>159</v>
      </c>
      <c r="E4" s="134" t="s">
        <v>49</v>
      </c>
      <c r="F4" s="143" t="s">
        <v>35</v>
      </c>
      <c r="G4" s="112" t="s">
        <v>37</v>
      </c>
      <c r="H4" s="143" t="s">
        <v>35</v>
      </c>
      <c r="I4" s="247" t="s">
        <v>51</v>
      </c>
      <c r="J4" s="144" t="s">
        <v>35</v>
      </c>
      <c r="K4" s="84" t="s">
        <v>61</v>
      </c>
      <c r="L4" s="143" t="s">
        <v>35</v>
      </c>
      <c r="M4" s="146" t="s">
        <v>57</v>
      </c>
      <c r="N4" s="247" t="s">
        <v>94</v>
      </c>
      <c r="O4" s="143" t="s">
        <v>35</v>
      </c>
      <c r="P4" s="111" t="s">
        <v>38</v>
      </c>
      <c r="Q4" s="111" t="s">
        <v>39</v>
      </c>
      <c r="R4" s="111" t="s">
        <v>40</v>
      </c>
      <c r="S4" s="111" t="s">
        <v>425</v>
      </c>
      <c r="T4" s="112" t="s">
        <v>42</v>
      </c>
      <c r="U4" s="112" t="s">
        <v>237</v>
      </c>
      <c r="V4" s="56" t="s">
        <v>38</v>
      </c>
      <c r="W4" s="56" t="s">
        <v>39</v>
      </c>
      <c r="X4" s="56" t="s">
        <v>40</v>
      </c>
      <c r="Y4" s="56" t="s">
        <v>476</v>
      </c>
      <c r="Z4" s="57" t="s">
        <v>42</v>
      </c>
      <c r="AA4" s="57" t="s">
        <v>237</v>
      </c>
      <c r="AB4" s="111" t="s">
        <v>89</v>
      </c>
    </row>
    <row r="5" spans="1:28" s="129" customFormat="1" ht="38.25">
      <c r="A5" s="129" t="s">
        <v>90</v>
      </c>
      <c r="C5" s="134" t="s">
        <v>222</v>
      </c>
      <c r="D5" s="111"/>
      <c r="F5" s="128"/>
      <c r="G5" s="76"/>
      <c r="H5" s="128"/>
      <c r="I5" s="339"/>
      <c r="K5" s="113"/>
      <c r="L5" s="128"/>
      <c r="M5" s="135"/>
      <c r="N5" s="249"/>
      <c r="O5" s="128"/>
      <c r="P5" s="76"/>
      <c r="Q5" s="76"/>
      <c r="R5" s="76"/>
      <c r="S5" s="76"/>
      <c r="T5" s="76"/>
      <c r="U5" s="76"/>
      <c r="V5" s="58"/>
      <c r="W5" s="58"/>
      <c r="X5" s="58"/>
      <c r="Y5" s="58"/>
      <c r="Z5" s="58"/>
      <c r="AA5" s="58"/>
      <c r="AB5" s="76"/>
    </row>
    <row r="6" spans="2:28" ht="25.5">
      <c r="B6" t="s">
        <v>91</v>
      </c>
      <c r="C6" s="12" t="s">
        <v>92</v>
      </c>
      <c r="D6" s="111"/>
      <c r="G6" s="76"/>
      <c r="I6" s="339"/>
      <c r="K6" s="114"/>
      <c r="L6" s="3"/>
      <c r="M6" s="14"/>
      <c r="N6" s="249"/>
      <c r="O6" s="3"/>
      <c r="P6" s="287"/>
      <c r="Q6" s="287"/>
      <c r="R6" s="287"/>
      <c r="S6" s="287"/>
      <c r="T6" s="287"/>
      <c r="U6" s="287"/>
      <c r="V6" s="114">
        <f aca="true" t="shared" si="0" ref="V6:AA6">SUM(V7:V17)</f>
        <v>0</v>
      </c>
      <c r="W6" s="114">
        <f t="shared" si="0"/>
        <v>0</v>
      </c>
      <c r="X6" s="114">
        <f t="shared" si="0"/>
        <v>0</v>
      </c>
      <c r="Y6" s="114">
        <f t="shared" si="0"/>
        <v>0</v>
      </c>
      <c r="Z6" s="114">
        <f t="shared" si="0"/>
        <v>0</v>
      </c>
      <c r="AA6" s="114">
        <f t="shared" si="0"/>
        <v>0</v>
      </c>
      <c r="AB6" s="76"/>
    </row>
    <row r="7" spans="3:28" ht="12.75">
      <c r="C7" s="12" t="s">
        <v>365</v>
      </c>
      <c r="D7" s="111"/>
      <c r="E7" s="6"/>
      <c r="F7" s="3"/>
      <c r="G7" s="76">
        <v>1</v>
      </c>
      <c r="H7" s="3"/>
      <c r="I7" s="340">
        <f>'Step4-Industrial Hg use'!C10</f>
        <v>0</v>
      </c>
      <c r="J7" s="8" t="s">
        <v>471</v>
      </c>
      <c r="K7" s="169">
        <f>I7*G7</f>
        <v>0</v>
      </c>
      <c r="L7" s="3" t="s">
        <v>36</v>
      </c>
      <c r="M7" s="14" t="s">
        <v>365</v>
      </c>
      <c r="N7" s="250">
        <f>K7</f>
        <v>0</v>
      </c>
      <c r="O7" s="3" t="s">
        <v>36</v>
      </c>
      <c r="P7" s="300">
        <v>0.01</v>
      </c>
      <c r="Q7" s="300">
        <v>0.005</v>
      </c>
      <c r="R7" s="300">
        <v>0.1</v>
      </c>
      <c r="S7" s="300"/>
      <c r="T7" s="300">
        <v>0.1</v>
      </c>
      <c r="U7" s="300">
        <v>0.01</v>
      </c>
      <c r="V7" s="116">
        <f aca="true" t="shared" si="1" ref="V7:AA7">$N7*P7</f>
        <v>0</v>
      </c>
      <c r="W7" s="116">
        <f t="shared" si="1"/>
        <v>0</v>
      </c>
      <c r="X7" s="116">
        <f t="shared" si="1"/>
        <v>0</v>
      </c>
      <c r="Y7" s="116">
        <f t="shared" si="1"/>
        <v>0</v>
      </c>
      <c r="Z7" s="116">
        <f t="shared" si="1"/>
        <v>0</v>
      </c>
      <c r="AA7" s="116">
        <f t="shared" si="1"/>
        <v>0</v>
      </c>
      <c r="AB7" s="76"/>
    </row>
    <row r="8" spans="3:28" ht="12.75">
      <c r="C8" s="53" t="s">
        <v>95</v>
      </c>
      <c r="D8" s="76"/>
      <c r="E8" s="6" t="s">
        <v>108</v>
      </c>
      <c r="F8" s="3" t="s">
        <v>112</v>
      </c>
      <c r="G8" s="76">
        <v>1</v>
      </c>
      <c r="H8" s="3" t="s">
        <v>112</v>
      </c>
      <c r="I8" s="250"/>
      <c r="J8" t="s">
        <v>113</v>
      </c>
      <c r="K8" s="115">
        <f>G8*I8/1000</f>
        <v>0</v>
      </c>
      <c r="L8" s="3" t="s">
        <v>36</v>
      </c>
      <c r="M8" s="15"/>
      <c r="N8" s="250"/>
      <c r="O8" s="3"/>
      <c r="P8" s="300"/>
      <c r="Q8" s="300"/>
      <c r="R8" s="300"/>
      <c r="S8" s="300"/>
      <c r="T8" s="300"/>
      <c r="U8" s="300"/>
      <c r="V8" s="116"/>
      <c r="W8" s="116"/>
      <c r="X8" s="116"/>
      <c r="Y8" s="116"/>
      <c r="Z8" s="116"/>
      <c r="AA8" s="116"/>
      <c r="AB8" s="76"/>
    </row>
    <row r="9" spans="3:28" ht="12.75">
      <c r="C9" s="53" t="s">
        <v>96</v>
      </c>
      <c r="D9" s="76"/>
      <c r="E9" s="6" t="s">
        <v>110</v>
      </c>
      <c r="F9" s="3" t="s">
        <v>112</v>
      </c>
      <c r="G9" s="76">
        <v>3.5</v>
      </c>
      <c r="H9" s="3" t="s">
        <v>112</v>
      </c>
      <c r="I9" s="250"/>
      <c r="J9" t="s">
        <v>113</v>
      </c>
      <c r="K9" s="115">
        <f>G9*I9/1000</f>
        <v>0</v>
      </c>
      <c r="L9" s="3" t="s">
        <v>36</v>
      </c>
      <c r="M9" s="15"/>
      <c r="N9" s="250"/>
      <c r="O9" s="3"/>
      <c r="P9" s="300"/>
      <c r="Q9" s="300"/>
      <c r="R9" s="300"/>
      <c r="S9" s="300"/>
      <c r="T9" s="300"/>
      <c r="U9" s="300"/>
      <c r="V9" s="116"/>
      <c r="W9" s="116"/>
      <c r="X9" s="116"/>
      <c r="Y9" s="116"/>
      <c r="Z9" s="116"/>
      <c r="AA9" s="116"/>
      <c r="AB9" s="76"/>
    </row>
    <row r="10" spans="3:28" ht="12.75">
      <c r="C10" s="53" t="s">
        <v>97</v>
      </c>
      <c r="D10" s="76"/>
      <c r="E10" s="6" t="s">
        <v>109</v>
      </c>
      <c r="F10" s="3" t="s">
        <v>112</v>
      </c>
      <c r="G10" s="76">
        <v>103</v>
      </c>
      <c r="H10" s="3" t="s">
        <v>112</v>
      </c>
      <c r="I10" s="250"/>
      <c r="J10" t="s">
        <v>113</v>
      </c>
      <c r="K10" s="115">
        <f>G10*I10/1000</f>
        <v>0</v>
      </c>
      <c r="L10" s="3" t="s">
        <v>36</v>
      </c>
      <c r="M10" s="15"/>
      <c r="N10" s="250"/>
      <c r="O10" s="3"/>
      <c r="P10" s="300"/>
      <c r="Q10" s="300"/>
      <c r="R10" s="300"/>
      <c r="S10" s="300"/>
      <c r="T10" s="300"/>
      <c r="U10" s="300"/>
      <c r="V10" s="116"/>
      <c r="W10" s="116"/>
      <c r="X10" s="116"/>
      <c r="Y10" s="116"/>
      <c r="Z10" s="116"/>
      <c r="AA10" s="116"/>
      <c r="AB10" s="76"/>
    </row>
    <row r="11" spans="3:28" ht="25.5">
      <c r="C11" s="53" t="s">
        <v>98</v>
      </c>
      <c r="D11" s="76"/>
      <c r="E11" s="6" t="s">
        <v>111</v>
      </c>
      <c r="F11" s="3" t="s">
        <v>112</v>
      </c>
      <c r="G11" s="76">
        <v>20.5</v>
      </c>
      <c r="H11" s="3" t="s">
        <v>112</v>
      </c>
      <c r="I11" s="250"/>
      <c r="J11" t="s">
        <v>113</v>
      </c>
      <c r="K11" s="115">
        <f>G11*I11/1000</f>
        <v>0</v>
      </c>
      <c r="L11" s="3" t="s">
        <v>36</v>
      </c>
      <c r="N11" s="250"/>
      <c r="O11" s="3"/>
      <c r="P11" s="300"/>
      <c r="Q11" s="300"/>
      <c r="R11" s="300"/>
      <c r="S11" s="300"/>
      <c r="T11" s="300"/>
      <c r="U11" s="300"/>
      <c r="V11" s="116"/>
      <c r="W11" s="116"/>
      <c r="X11" s="116"/>
      <c r="Y11" s="116"/>
      <c r="Z11" s="116"/>
      <c r="AA11" s="116"/>
      <c r="AB11" s="76"/>
    </row>
    <row r="12" spans="3:28" ht="12.75">
      <c r="C12" s="67" t="s">
        <v>102</v>
      </c>
      <c r="D12" s="111"/>
      <c r="E12" s="6"/>
      <c r="F12" s="3"/>
      <c r="G12" s="76"/>
      <c r="H12" s="3"/>
      <c r="I12" s="250"/>
      <c r="J12" s="311" t="s">
        <v>475</v>
      </c>
      <c r="K12" s="169">
        <f>SUM(K13:K16)</f>
        <v>0</v>
      </c>
      <c r="L12" s="3" t="s">
        <v>36</v>
      </c>
      <c r="M12" s="16" t="s">
        <v>102</v>
      </c>
      <c r="N12" s="250"/>
      <c r="O12" s="3" t="s">
        <v>36</v>
      </c>
      <c r="P12" s="300"/>
      <c r="Q12" s="300"/>
      <c r="R12" s="300"/>
      <c r="S12" s="300"/>
      <c r="T12" s="300"/>
      <c r="U12" s="301"/>
      <c r="V12" s="116"/>
      <c r="W12" s="116"/>
      <c r="X12" s="116"/>
      <c r="Y12" s="116"/>
      <c r="Z12" s="116"/>
      <c r="AA12" s="116"/>
      <c r="AB12" s="76"/>
    </row>
    <row r="13" spans="3:28" ht="25.5">
      <c r="C13" s="53" t="s">
        <v>95</v>
      </c>
      <c r="D13" s="76"/>
      <c r="E13" s="6" t="s">
        <v>108</v>
      </c>
      <c r="F13" s="3" t="s">
        <v>112</v>
      </c>
      <c r="G13" s="76">
        <v>1</v>
      </c>
      <c r="H13" s="3" t="s">
        <v>112</v>
      </c>
      <c r="I13" s="250">
        <f>IF('Step6-Hg products-substances'!B14=yes,'Step6-Hg products-substances'!C14,0)</f>
        <v>0</v>
      </c>
      <c r="J13" t="s">
        <v>113</v>
      </c>
      <c r="K13" s="115">
        <f>G13*I13/1000</f>
        <v>0</v>
      </c>
      <c r="L13" s="3" t="s">
        <v>36</v>
      </c>
      <c r="M13" s="15" t="s">
        <v>99</v>
      </c>
      <c r="N13" s="250">
        <f>IF(OR('Step5-Waste treatment+recycling'!$B$4=yes,'Step5-Waste treatment+recycling'!$B$4=yes),K12,0)</f>
        <v>0</v>
      </c>
      <c r="O13" s="3" t="s">
        <v>36</v>
      </c>
      <c r="P13" s="300">
        <v>0.1</v>
      </c>
      <c r="Q13" s="300">
        <v>0.3</v>
      </c>
      <c r="R13" s="300"/>
      <c r="S13" s="300"/>
      <c r="T13" s="300">
        <v>0.6</v>
      </c>
      <c r="U13" s="300"/>
      <c r="V13" s="116">
        <f aca="true" t="shared" si="2" ref="V13:Y15">$N13*P13</f>
        <v>0</v>
      </c>
      <c r="W13" s="116">
        <f t="shared" si="2"/>
        <v>0</v>
      </c>
      <c r="X13" s="116">
        <f t="shared" si="2"/>
        <v>0</v>
      </c>
      <c r="Y13" s="116">
        <f t="shared" si="2"/>
        <v>0</v>
      </c>
      <c r="Z13" s="116">
        <f aca="true" t="shared" si="3" ref="Z13:AA15">$N13*T13</f>
        <v>0</v>
      </c>
      <c r="AA13" s="116">
        <f t="shared" si="3"/>
        <v>0</v>
      </c>
      <c r="AB13" s="76"/>
    </row>
    <row r="14" spans="3:28" ht="25.5">
      <c r="C14" s="53" t="s">
        <v>96</v>
      </c>
      <c r="D14" s="76"/>
      <c r="E14" s="6" t="s">
        <v>110</v>
      </c>
      <c r="F14" s="3" t="s">
        <v>112</v>
      </c>
      <c r="G14" s="76">
        <v>3.5</v>
      </c>
      <c r="H14" s="3" t="s">
        <v>112</v>
      </c>
      <c r="I14" s="250">
        <f>IF('Step6-Hg products-substances'!B15=yes,0.5*'Step6-Hg products-substances'!C15,0)</f>
        <v>0</v>
      </c>
      <c r="J14" t="s">
        <v>113</v>
      </c>
      <c r="K14" s="115">
        <f>G14*I14/1000</f>
        <v>0</v>
      </c>
      <c r="L14" s="3" t="s">
        <v>36</v>
      </c>
      <c r="M14" s="15" t="s">
        <v>114</v>
      </c>
      <c r="N14" s="250">
        <f>IF(OR('Step5-Waste treatment+recycling'!$B$4=no,'Step5-Waste treatment+recycling'!$B$4=no),K12,0)</f>
        <v>0</v>
      </c>
      <c r="O14" s="3" t="s">
        <v>36</v>
      </c>
      <c r="P14" s="300">
        <v>0.2</v>
      </c>
      <c r="Q14" s="300">
        <v>0.3</v>
      </c>
      <c r="R14" s="300">
        <v>0.2</v>
      </c>
      <c r="S14" s="300"/>
      <c r="T14" s="300">
        <v>0.3</v>
      </c>
      <c r="U14" s="300"/>
      <c r="V14" s="116">
        <f t="shared" si="2"/>
        <v>0</v>
      </c>
      <c r="W14" s="116">
        <f t="shared" si="2"/>
        <v>0</v>
      </c>
      <c r="X14" s="116">
        <f t="shared" si="2"/>
        <v>0</v>
      </c>
      <c r="Y14" s="116">
        <f t="shared" si="2"/>
        <v>0</v>
      </c>
      <c r="Z14" s="116">
        <f t="shared" si="3"/>
        <v>0</v>
      </c>
      <c r="AA14" s="116">
        <f t="shared" si="3"/>
        <v>0</v>
      </c>
      <c r="AB14" s="76"/>
    </row>
    <row r="15" spans="3:28" ht="25.5">
      <c r="C15" s="53" t="s">
        <v>97</v>
      </c>
      <c r="D15" s="76"/>
      <c r="E15" s="6" t="s">
        <v>109</v>
      </c>
      <c r="F15" s="3" t="s">
        <v>112</v>
      </c>
      <c r="G15" s="76">
        <v>103</v>
      </c>
      <c r="H15" s="3" t="s">
        <v>112</v>
      </c>
      <c r="I15" s="250">
        <f>IF('Step6-Hg products-substances'!B16=yes,'Step6-Hg products-substances'!C16,0)</f>
        <v>0</v>
      </c>
      <c r="J15" t="s">
        <v>113</v>
      </c>
      <c r="K15" s="115">
        <f>G15*I15/1000</f>
        <v>0</v>
      </c>
      <c r="L15" s="3" t="s">
        <v>36</v>
      </c>
      <c r="M15" s="15" t="s">
        <v>100</v>
      </c>
      <c r="N15" s="250"/>
      <c r="O15" s="3" t="s">
        <v>36</v>
      </c>
      <c r="P15" s="300">
        <v>0.1</v>
      </c>
      <c r="Q15" s="300">
        <v>0.3</v>
      </c>
      <c r="R15" s="300"/>
      <c r="S15" s="300"/>
      <c r="T15" s="300">
        <v>0.3</v>
      </c>
      <c r="U15" s="300">
        <v>0.3</v>
      </c>
      <c r="V15" s="116">
        <f t="shared" si="2"/>
        <v>0</v>
      </c>
      <c r="W15" s="116">
        <f t="shared" si="2"/>
        <v>0</v>
      </c>
      <c r="X15" s="116">
        <f t="shared" si="2"/>
        <v>0</v>
      </c>
      <c r="Y15" s="116">
        <f t="shared" si="2"/>
        <v>0</v>
      </c>
      <c r="Z15" s="116">
        <f t="shared" si="3"/>
        <v>0</v>
      </c>
      <c r="AA15" s="116">
        <f t="shared" si="3"/>
        <v>0</v>
      </c>
      <c r="AB15" s="76"/>
    </row>
    <row r="16" spans="3:28" ht="25.5">
      <c r="C16" s="53" t="s">
        <v>98</v>
      </c>
      <c r="D16" s="76"/>
      <c r="E16" s="27" t="s">
        <v>111</v>
      </c>
      <c r="F16" s="3" t="s">
        <v>112</v>
      </c>
      <c r="G16" s="76">
        <v>20.5</v>
      </c>
      <c r="H16" s="3" t="s">
        <v>112</v>
      </c>
      <c r="I16" s="250">
        <f>IF('Step6-Hg products-substances'!B15=yes,0.5*'Step6-Hg products-substances'!C15,0)</f>
        <v>0</v>
      </c>
      <c r="J16" t="s">
        <v>113</v>
      </c>
      <c r="K16" s="115">
        <f>G16*I16/1000</f>
        <v>0</v>
      </c>
      <c r="L16" s="3" t="s">
        <v>36</v>
      </c>
      <c r="N16" s="250"/>
      <c r="O16" s="3"/>
      <c r="P16" s="300"/>
      <c r="Q16" s="300"/>
      <c r="R16" s="300"/>
      <c r="S16" s="300"/>
      <c r="T16" s="300"/>
      <c r="U16" s="301"/>
      <c r="V16" s="116"/>
      <c r="W16" s="116"/>
      <c r="X16" s="116"/>
      <c r="Y16" s="116"/>
      <c r="Z16" s="116"/>
      <c r="AA16" s="116"/>
      <c r="AB16" s="76"/>
    </row>
    <row r="17" spans="3:28" s="55" customFormat="1" ht="12.75">
      <c r="C17" s="162"/>
      <c r="D17" s="76"/>
      <c r="E17" s="106"/>
      <c r="F17" s="104"/>
      <c r="G17" s="76"/>
      <c r="H17" s="104"/>
      <c r="I17" s="250"/>
      <c r="K17" s="115"/>
      <c r="L17" s="104"/>
      <c r="M17" s="163"/>
      <c r="N17" s="250"/>
      <c r="O17" s="104"/>
      <c r="P17" s="300"/>
      <c r="Q17" s="300"/>
      <c r="R17" s="300"/>
      <c r="S17" s="300"/>
      <c r="T17" s="300"/>
      <c r="U17" s="301"/>
      <c r="V17" s="116"/>
      <c r="W17" s="116"/>
      <c r="X17" s="116"/>
      <c r="Y17" s="116"/>
      <c r="Z17" s="116"/>
      <c r="AA17" s="116"/>
      <c r="AB17" s="76"/>
    </row>
    <row r="18" spans="2:28" ht="25.5">
      <c r="B18" t="s">
        <v>116</v>
      </c>
      <c r="C18" s="12" t="s">
        <v>115</v>
      </c>
      <c r="D18" s="111"/>
      <c r="G18" s="76"/>
      <c r="I18" s="249"/>
      <c r="K18" s="114"/>
      <c r="L18" s="3"/>
      <c r="M18" s="14"/>
      <c r="N18" s="250"/>
      <c r="O18" s="3"/>
      <c r="P18" s="301"/>
      <c r="Q18" s="301"/>
      <c r="R18" s="301"/>
      <c r="S18" s="301"/>
      <c r="T18" s="301"/>
      <c r="U18" s="301"/>
      <c r="V18" s="114">
        <f aca="true" t="shared" si="4" ref="V18:AA18">SUM(V19:V23)</f>
        <v>0</v>
      </c>
      <c r="W18" s="114">
        <f t="shared" si="4"/>
        <v>0</v>
      </c>
      <c r="X18" s="114">
        <f t="shared" si="4"/>
        <v>0</v>
      </c>
      <c r="Y18" s="114">
        <f t="shared" si="4"/>
        <v>0</v>
      </c>
      <c r="Z18" s="114">
        <f t="shared" si="4"/>
        <v>0</v>
      </c>
      <c r="AA18" s="114">
        <f t="shared" si="4"/>
        <v>0</v>
      </c>
      <c r="AB18" s="76"/>
    </row>
    <row r="19" spans="3:28" ht="12.75">
      <c r="C19" s="12" t="s">
        <v>101</v>
      </c>
      <c r="D19" s="111"/>
      <c r="F19" s="3"/>
      <c r="G19" s="76">
        <v>1</v>
      </c>
      <c r="H19" s="3"/>
      <c r="I19" s="250">
        <f>'Step4-Industrial Hg use'!C11</f>
        <v>0</v>
      </c>
      <c r="J19" s="8" t="s">
        <v>471</v>
      </c>
      <c r="K19" s="115">
        <f>I19*G19</f>
        <v>0</v>
      </c>
      <c r="L19" s="3"/>
      <c r="M19" s="14" t="s">
        <v>101</v>
      </c>
      <c r="N19" s="250">
        <f>K19</f>
        <v>0</v>
      </c>
      <c r="O19" s="3"/>
      <c r="P19" s="300">
        <v>0.01</v>
      </c>
      <c r="Q19" s="300">
        <v>0.005</v>
      </c>
      <c r="R19" s="300">
        <v>0.1</v>
      </c>
      <c r="S19" s="300"/>
      <c r="T19" s="300">
        <v>0.1</v>
      </c>
      <c r="U19" s="300">
        <v>0.01</v>
      </c>
      <c r="V19" s="116">
        <f aca="true" t="shared" si="5" ref="V19:AA19">$N19*P19</f>
        <v>0</v>
      </c>
      <c r="W19" s="116">
        <f t="shared" si="5"/>
        <v>0</v>
      </c>
      <c r="X19" s="116">
        <f t="shared" si="5"/>
        <v>0</v>
      </c>
      <c r="Y19" s="116">
        <f t="shared" si="5"/>
        <v>0</v>
      </c>
      <c r="Z19" s="116">
        <f t="shared" si="5"/>
        <v>0</v>
      </c>
      <c r="AA19" s="116">
        <f t="shared" si="5"/>
        <v>0</v>
      </c>
      <c r="AB19" s="76"/>
    </row>
    <row r="20" spans="3:28" ht="12.75">
      <c r="C20" s="67" t="s">
        <v>102</v>
      </c>
      <c r="D20" s="111"/>
      <c r="E20" t="s">
        <v>117</v>
      </c>
      <c r="F20" s="3" t="s">
        <v>120</v>
      </c>
      <c r="G20" s="287">
        <v>0.14</v>
      </c>
      <c r="H20" s="3" t="s">
        <v>120</v>
      </c>
      <c r="I20" s="250">
        <f>'Step1-Country data'!B6</f>
        <v>0</v>
      </c>
      <c r="J20" s="3" t="s">
        <v>119</v>
      </c>
      <c r="K20" s="170">
        <f>(G20*I20/1000)*'Step6-Hg products-substances'!$C$19/100</f>
        <v>0</v>
      </c>
      <c r="L20" s="3" t="s">
        <v>36</v>
      </c>
      <c r="M20" s="16" t="s">
        <v>102</v>
      </c>
      <c r="N20" s="250"/>
      <c r="O20" s="3"/>
      <c r="P20" s="300"/>
      <c r="Q20" s="300"/>
      <c r="R20" s="300"/>
      <c r="S20" s="300"/>
      <c r="T20" s="300"/>
      <c r="U20" s="301"/>
      <c r="V20" s="116"/>
      <c r="W20" s="116"/>
      <c r="X20" s="116"/>
      <c r="Y20" s="116"/>
      <c r="Z20" s="116"/>
      <c r="AA20" s="116"/>
      <c r="AB20" s="76"/>
    </row>
    <row r="21" spans="3:28" ht="25.5">
      <c r="C21" s="53"/>
      <c r="D21" s="76"/>
      <c r="E21" s="6"/>
      <c r="F21" s="3"/>
      <c r="G21" s="76"/>
      <c r="H21" s="3"/>
      <c r="I21" s="250"/>
      <c r="K21" s="115"/>
      <c r="L21" s="3"/>
      <c r="M21" s="15" t="s">
        <v>99</v>
      </c>
      <c r="N21" s="250">
        <f>IF(OR('Step5-Waste treatment+recycling'!$B$4=yes,'Step5-Waste treatment+recycling'!$B$4=yes),K20,0)</f>
        <v>0</v>
      </c>
      <c r="O21" s="3"/>
      <c r="P21" s="300">
        <v>0.1</v>
      </c>
      <c r="Q21" s="300"/>
      <c r="R21" s="300">
        <v>0.1</v>
      </c>
      <c r="S21" s="300"/>
      <c r="T21" s="300">
        <v>0.8</v>
      </c>
      <c r="U21" s="300"/>
      <c r="V21" s="116">
        <f aca="true" t="shared" si="6" ref="V21:Y23">$N21*P21</f>
        <v>0</v>
      </c>
      <c r="W21" s="116">
        <f t="shared" si="6"/>
        <v>0</v>
      </c>
      <c r="X21" s="116">
        <f t="shared" si="6"/>
        <v>0</v>
      </c>
      <c r="Y21" s="116">
        <f t="shared" si="6"/>
        <v>0</v>
      </c>
      <c r="Z21" s="116">
        <f aca="true" t="shared" si="7" ref="Z21:AA23">$N21*T21</f>
        <v>0</v>
      </c>
      <c r="AA21" s="116">
        <f t="shared" si="7"/>
        <v>0</v>
      </c>
      <c r="AB21" s="76"/>
    </row>
    <row r="22" spans="3:28" ht="25.5">
      <c r="C22" s="53"/>
      <c r="D22" s="76"/>
      <c r="E22" s="6"/>
      <c r="F22" s="3"/>
      <c r="G22" s="76"/>
      <c r="H22" s="3"/>
      <c r="I22" s="250"/>
      <c r="K22" s="115"/>
      <c r="L22" s="3"/>
      <c r="M22" s="15" t="s">
        <v>114</v>
      </c>
      <c r="N22" s="250">
        <f>IF(OR('Step5-Waste treatment+recycling'!$B$4=no,'Step5-Waste treatment+recycling'!$B$4=no),K20,0)</f>
        <v>0</v>
      </c>
      <c r="O22" s="3"/>
      <c r="P22" s="300">
        <v>0.3</v>
      </c>
      <c r="Q22" s="300"/>
      <c r="R22" s="300">
        <v>0.4</v>
      </c>
      <c r="S22" s="300"/>
      <c r="T22" s="300">
        <v>0.3</v>
      </c>
      <c r="U22" s="300"/>
      <c r="V22" s="116">
        <f t="shared" si="6"/>
        <v>0</v>
      </c>
      <c r="W22" s="116">
        <f t="shared" si="6"/>
        <v>0</v>
      </c>
      <c r="X22" s="116">
        <f t="shared" si="6"/>
        <v>0</v>
      </c>
      <c r="Y22" s="116">
        <f t="shared" si="6"/>
        <v>0</v>
      </c>
      <c r="Z22" s="116">
        <f t="shared" si="7"/>
        <v>0</v>
      </c>
      <c r="AA22" s="116">
        <f t="shared" si="7"/>
        <v>0</v>
      </c>
      <c r="AB22" s="76"/>
    </row>
    <row r="23" spans="3:28" ht="25.5">
      <c r="C23" s="53"/>
      <c r="D23" s="76"/>
      <c r="E23" s="6"/>
      <c r="F23" s="3"/>
      <c r="G23" s="76"/>
      <c r="H23" s="3"/>
      <c r="I23" s="250"/>
      <c r="K23" s="115"/>
      <c r="L23" s="3"/>
      <c r="M23" s="15" t="s">
        <v>100</v>
      </c>
      <c r="N23" s="250"/>
      <c r="O23" s="3"/>
      <c r="P23" s="300">
        <v>0.1</v>
      </c>
      <c r="Q23" s="300"/>
      <c r="R23" s="300">
        <v>0.1</v>
      </c>
      <c r="S23" s="300"/>
      <c r="T23" s="300">
        <v>0.4</v>
      </c>
      <c r="U23" s="300">
        <v>0.4</v>
      </c>
      <c r="V23" s="116">
        <f t="shared" si="6"/>
        <v>0</v>
      </c>
      <c r="W23" s="116">
        <f t="shared" si="6"/>
        <v>0</v>
      </c>
      <c r="X23" s="116">
        <f t="shared" si="6"/>
        <v>0</v>
      </c>
      <c r="Y23" s="116">
        <f t="shared" si="6"/>
        <v>0</v>
      </c>
      <c r="Z23" s="116">
        <f t="shared" si="7"/>
        <v>0</v>
      </c>
      <c r="AA23" s="116">
        <f t="shared" si="7"/>
        <v>0</v>
      </c>
      <c r="AB23" s="76"/>
    </row>
    <row r="24" spans="3:28" s="55" customFormat="1" ht="12.75">
      <c r="C24" s="162"/>
      <c r="D24" s="76"/>
      <c r="E24" s="106"/>
      <c r="F24" s="104"/>
      <c r="G24" s="76"/>
      <c r="H24" s="104"/>
      <c r="I24" s="250"/>
      <c r="K24" s="115"/>
      <c r="L24" s="104"/>
      <c r="M24" s="107"/>
      <c r="N24" s="250"/>
      <c r="O24" s="104"/>
      <c r="P24" s="300"/>
      <c r="Q24" s="300"/>
      <c r="R24" s="300"/>
      <c r="S24" s="300"/>
      <c r="T24" s="300"/>
      <c r="U24" s="300"/>
      <c r="V24" s="116"/>
      <c r="W24" s="116"/>
      <c r="X24" s="116"/>
      <c r="Y24" s="116"/>
      <c r="Z24" s="116"/>
      <c r="AA24" s="116"/>
      <c r="AB24" s="76"/>
    </row>
    <row r="25" spans="2:28" ht="12.75">
      <c r="B25" t="s">
        <v>121</v>
      </c>
      <c r="C25" s="5" t="s">
        <v>332</v>
      </c>
      <c r="D25" s="111"/>
      <c r="G25" s="76"/>
      <c r="I25" s="249"/>
      <c r="K25" s="114"/>
      <c r="L25" s="3"/>
      <c r="M25" s="14"/>
      <c r="N25" s="250"/>
      <c r="O25" s="3"/>
      <c r="P25" s="301"/>
      <c r="Q25" s="301"/>
      <c r="R25" s="301"/>
      <c r="S25" s="301"/>
      <c r="T25" s="301"/>
      <c r="U25" s="301"/>
      <c r="V25" s="114">
        <f aca="true" t="shared" si="8" ref="V25:AA25">SUM(V26:V33)</f>
        <v>0</v>
      </c>
      <c r="W25" s="114">
        <f t="shared" si="8"/>
        <v>0</v>
      </c>
      <c r="X25" s="114">
        <f t="shared" si="8"/>
        <v>0</v>
      </c>
      <c r="Y25" s="114">
        <f t="shared" si="8"/>
        <v>0</v>
      </c>
      <c r="Z25" s="114">
        <f t="shared" si="8"/>
        <v>0</v>
      </c>
      <c r="AA25" s="114">
        <f t="shared" si="8"/>
        <v>0</v>
      </c>
      <c r="AB25" s="76"/>
    </row>
    <row r="26" spans="3:28" ht="12.75">
      <c r="C26" s="12" t="s">
        <v>101</v>
      </c>
      <c r="D26" s="111"/>
      <c r="F26" s="3"/>
      <c r="G26" s="76">
        <v>1</v>
      </c>
      <c r="H26" s="3"/>
      <c r="I26" s="250">
        <f>'Step4-Industrial Hg use'!C12</f>
        <v>0</v>
      </c>
      <c r="J26" s="8" t="s">
        <v>471</v>
      </c>
      <c r="K26" s="115">
        <f>I26*G26</f>
        <v>0</v>
      </c>
      <c r="L26" s="3" t="s">
        <v>36</v>
      </c>
      <c r="M26" s="14" t="s">
        <v>101</v>
      </c>
      <c r="N26" s="250">
        <f>K26</f>
        <v>0</v>
      </c>
      <c r="O26" s="3"/>
      <c r="P26" s="300">
        <v>0.01</v>
      </c>
      <c r="Q26" s="300">
        <v>0.005</v>
      </c>
      <c r="R26" s="300">
        <v>0.1</v>
      </c>
      <c r="S26" s="300"/>
      <c r="T26" s="300">
        <v>0.1</v>
      </c>
      <c r="U26" s="300">
        <v>0.01</v>
      </c>
      <c r="V26" s="116">
        <f aca="true" t="shared" si="9" ref="V26:AA26">$N26*P26</f>
        <v>0</v>
      </c>
      <c r="W26" s="116">
        <f t="shared" si="9"/>
        <v>0</v>
      </c>
      <c r="X26" s="116">
        <f t="shared" si="9"/>
        <v>0</v>
      </c>
      <c r="Y26" s="116">
        <f t="shared" si="9"/>
        <v>0</v>
      </c>
      <c r="Z26" s="116">
        <f t="shared" si="9"/>
        <v>0</v>
      </c>
      <c r="AA26" s="116">
        <f t="shared" si="9"/>
        <v>0</v>
      </c>
      <c r="AB26" s="76"/>
    </row>
    <row r="27" spans="3:28" ht="12.75">
      <c r="C27" s="67" t="s">
        <v>102</v>
      </c>
      <c r="D27" s="111"/>
      <c r="E27" s="6"/>
      <c r="F27" s="3"/>
      <c r="G27" s="76"/>
      <c r="H27" s="3"/>
      <c r="I27" s="250"/>
      <c r="K27" s="169">
        <f>SUM(K28:K33)</f>
        <v>0</v>
      </c>
      <c r="L27" s="3" t="s">
        <v>36</v>
      </c>
      <c r="M27" s="16" t="s">
        <v>102</v>
      </c>
      <c r="N27" s="250"/>
      <c r="O27" s="3"/>
      <c r="P27" s="300"/>
      <c r="Q27" s="300"/>
      <c r="R27" s="300"/>
      <c r="S27" s="300"/>
      <c r="T27" s="300"/>
      <c r="U27" s="301"/>
      <c r="V27" s="116"/>
      <c r="W27" s="116"/>
      <c r="X27" s="116"/>
      <c r="Y27" s="116"/>
      <c r="Z27" s="116"/>
      <c r="AA27" s="116"/>
      <c r="AB27" s="76"/>
    </row>
    <row r="28" spans="3:28" ht="25.5">
      <c r="C28" s="53" t="s">
        <v>122</v>
      </c>
      <c r="D28" s="167"/>
      <c r="E28" t="s">
        <v>128</v>
      </c>
      <c r="F28" s="3" t="s">
        <v>134</v>
      </c>
      <c r="G28" s="76">
        <v>25</v>
      </c>
      <c r="H28" s="3" t="s">
        <v>134</v>
      </c>
      <c r="I28" s="250">
        <f>IF('Step6-Hg products-substances'!B22=yes,'Step6-Hg products-substances'!C22,0)</f>
        <v>0</v>
      </c>
      <c r="J28" t="s">
        <v>113</v>
      </c>
      <c r="K28" s="115">
        <f aca="true" t="shared" si="10" ref="K28:K33">G28*I28/1000000</f>
        <v>0</v>
      </c>
      <c r="L28" s="3" t="s">
        <v>36</v>
      </c>
      <c r="M28" s="15" t="s">
        <v>99</v>
      </c>
      <c r="N28" s="250">
        <f>IF(OR('Step5-Waste treatment+recycling'!$B$4=yes,'Step5-Waste treatment+recycling'!$B$4=yes),K27,0)</f>
        <v>0</v>
      </c>
      <c r="O28" s="3"/>
      <c r="P28" s="300">
        <v>0.05</v>
      </c>
      <c r="Q28" s="300"/>
      <c r="R28" s="300"/>
      <c r="S28" s="300"/>
      <c r="T28" s="300">
        <v>0.95</v>
      </c>
      <c r="U28" s="300"/>
      <c r="V28" s="116">
        <f aca="true" t="shared" si="11" ref="V28:Y30">$N28*P28</f>
        <v>0</v>
      </c>
      <c r="W28" s="116">
        <f t="shared" si="11"/>
        <v>0</v>
      </c>
      <c r="X28" s="116">
        <f t="shared" si="11"/>
        <v>0</v>
      </c>
      <c r="Y28" s="116">
        <f t="shared" si="11"/>
        <v>0</v>
      </c>
      <c r="Z28" s="116">
        <f aca="true" t="shared" si="12" ref="Z28:AA30">$N28*T28</f>
        <v>0</v>
      </c>
      <c r="AA28" s="116">
        <f t="shared" si="12"/>
        <v>0</v>
      </c>
      <c r="AB28" s="76"/>
    </row>
    <row r="29" spans="3:28" ht="25.5">
      <c r="C29" s="53" t="s">
        <v>123</v>
      </c>
      <c r="D29" s="167"/>
      <c r="E29" t="s">
        <v>129</v>
      </c>
      <c r="F29" s="3" t="s">
        <v>134</v>
      </c>
      <c r="G29" s="76">
        <v>10</v>
      </c>
      <c r="H29" s="3" t="s">
        <v>134</v>
      </c>
      <c r="I29" s="250">
        <f>IF('Step6-Hg products-substances'!B23=yes,'Step6-Hg products-substances'!C23,0)</f>
        <v>0</v>
      </c>
      <c r="J29" t="s">
        <v>113</v>
      </c>
      <c r="K29" s="115">
        <f t="shared" si="10"/>
        <v>0</v>
      </c>
      <c r="L29" s="3" t="s">
        <v>36</v>
      </c>
      <c r="M29" s="15" t="s">
        <v>114</v>
      </c>
      <c r="N29" s="250">
        <f>IF(OR('Step5-Waste treatment+recycling'!$B$4=no,'Step5-Waste treatment+recycling'!$B$4=no),K27,0)</f>
        <v>0</v>
      </c>
      <c r="O29" s="3"/>
      <c r="P29" s="300">
        <v>0.3</v>
      </c>
      <c r="Q29" s="300"/>
      <c r="R29" s="300">
        <v>0.3</v>
      </c>
      <c r="S29" s="300"/>
      <c r="T29" s="300">
        <v>0.4</v>
      </c>
      <c r="U29" s="300"/>
      <c r="V29" s="116">
        <f t="shared" si="11"/>
        <v>0</v>
      </c>
      <c r="W29" s="116">
        <f t="shared" si="11"/>
        <v>0</v>
      </c>
      <c r="X29" s="116">
        <f t="shared" si="11"/>
        <v>0</v>
      </c>
      <c r="Y29" s="116">
        <f t="shared" si="11"/>
        <v>0</v>
      </c>
      <c r="Z29" s="116">
        <f t="shared" si="12"/>
        <v>0</v>
      </c>
      <c r="AA29" s="116">
        <f t="shared" si="12"/>
        <v>0</v>
      </c>
      <c r="AB29" s="76"/>
    </row>
    <row r="30" spans="3:28" ht="25.5">
      <c r="C30" s="53" t="s">
        <v>124</v>
      </c>
      <c r="D30" s="130"/>
      <c r="E30" t="s">
        <v>130</v>
      </c>
      <c r="F30" s="3" t="s">
        <v>134</v>
      </c>
      <c r="G30" s="76">
        <v>30</v>
      </c>
      <c r="H30" s="3" t="s">
        <v>134</v>
      </c>
      <c r="I30" s="250">
        <f>IF('Step6-Hg products-substances'!B24=yes,'Step6-Hg products-substances'!C24/4,0)</f>
        <v>0</v>
      </c>
      <c r="J30" t="s">
        <v>113</v>
      </c>
      <c r="K30" s="115">
        <f t="shared" si="10"/>
        <v>0</v>
      </c>
      <c r="L30" s="3" t="s">
        <v>36</v>
      </c>
      <c r="M30" s="15" t="s">
        <v>100</v>
      </c>
      <c r="N30" s="250"/>
      <c r="O30" s="3"/>
      <c r="P30" s="300">
        <v>0.05</v>
      </c>
      <c r="Q30" s="300"/>
      <c r="R30" s="300"/>
      <c r="S30" s="300"/>
      <c r="T30" s="300">
        <v>0.8</v>
      </c>
      <c r="U30" s="300">
        <v>0.15</v>
      </c>
      <c r="V30" s="116">
        <f t="shared" si="11"/>
        <v>0</v>
      </c>
      <c r="W30" s="116">
        <f t="shared" si="11"/>
        <v>0</v>
      </c>
      <c r="X30" s="116">
        <f t="shared" si="11"/>
        <v>0</v>
      </c>
      <c r="Y30" s="116">
        <f t="shared" si="11"/>
        <v>0</v>
      </c>
      <c r="Z30" s="116">
        <f t="shared" si="12"/>
        <v>0</v>
      </c>
      <c r="AA30" s="116">
        <f t="shared" si="12"/>
        <v>0</v>
      </c>
      <c r="AB30" s="76"/>
    </row>
    <row r="31" spans="3:28" ht="12.75">
      <c r="C31" s="53" t="s">
        <v>125</v>
      </c>
      <c r="D31" s="167"/>
      <c r="E31" t="s">
        <v>131</v>
      </c>
      <c r="F31" s="3" t="s">
        <v>134</v>
      </c>
      <c r="G31" s="76">
        <v>20</v>
      </c>
      <c r="H31" s="3" t="s">
        <v>134</v>
      </c>
      <c r="I31" s="250">
        <f>IF('Step6-Hg products-substances'!B24=yes,'Step6-Hg products-substances'!C24/4,0)</f>
        <v>0</v>
      </c>
      <c r="J31" t="s">
        <v>113</v>
      </c>
      <c r="K31" s="115">
        <f t="shared" si="10"/>
        <v>0</v>
      </c>
      <c r="L31" s="3" t="s">
        <v>36</v>
      </c>
      <c r="N31" s="250"/>
      <c r="O31" s="3"/>
      <c r="P31" s="300"/>
      <c r="Q31" s="300"/>
      <c r="R31" s="300"/>
      <c r="S31" s="300"/>
      <c r="T31" s="300"/>
      <c r="U31" s="301"/>
      <c r="V31" s="116"/>
      <c r="W31" s="116"/>
      <c r="X31" s="116"/>
      <c r="Y31" s="116"/>
      <c r="Z31" s="116"/>
      <c r="AA31" s="116"/>
      <c r="AB31" s="76"/>
    </row>
    <row r="32" spans="3:28" ht="12.75">
      <c r="C32" s="53" t="s">
        <v>126</v>
      </c>
      <c r="D32" s="167"/>
      <c r="E32" t="s">
        <v>132</v>
      </c>
      <c r="F32" s="3" t="s">
        <v>134</v>
      </c>
      <c r="G32" s="76">
        <v>15</v>
      </c>
      <c r="H32" s="3" t="s">
        <v>134</v>
      </c>
      <c r="I32" s="250">
        <f>IF('Step6-Hg products-substances'!B24=yes,'Step6-Hg products-substances'!C24/4,0)</f>
        <v>0</v>
      </c>
      <c r="J32" t="s">
        <v>113</v>
      </c>
      <c r="K32" s="115">
        <f t="shared" si="10"/>
        <v>0</v>
      </c>
      <c r="L32" s="3" t="s">
        <v>36</v>
      </c>
      <c r="M32" s="15"/>
      <c r="N32" s="250"/>
      <c r="O32" s="3"/>
      <c r="P32" s="300"/>
      <c r="Q32" s="300"/>
      <c r="R32" s="300"/>
      <c r="S32" s="300"/>
      <c r="T32" s="300"/>
      <c r="U32" s="300"/>
      <c r="V32" s="116"/>
      <c r="W32" s="116"/>
      <c r="X32" s="116"/>
      <c r="Y32" s="116"/>
      <c r="Z32" s="116"/>
      <c r="AA32" s="116"/>
      <c r="AB32" s="76"/>
    </row>
    <row r="33" spans="3:28" ht="12.75">
      <c r="C33" s="53" t="s">
        <v>127</v>
      </c>
      <c r="D33" s="130"/>
      <c r="E33" t="s">
        <v>133</v>
      </c>
      <c r="F33" s="3" t="s">
        <v>134</v>
      </c>
      <c r="G33" s="76">
        <v>25</v>
      </c>
      <c r="H33" s="3" t="s">
        <v>134</v>
      </c>
      <c r="I33" s="250">
        <f>IF('Step6-Hg products-substances'!B24=yes,'Step6-Hg products-substances'!C24/4,0)</f>
        <v>0</v>
      </c>
      <c r="J33" t="s">
        <v>113</v>
      </c>
      <c r="K33" s="115">
        <f t="shared" si="10"/>
        <v>0</v>
      </c>
      <c r="L33" s="3" t="s">
        <v>36</v>
      </c>
      <c r="M33" s="15"/>
      <c r="N33" s="250"/>
      <c r="O33" s="3"/>
      <c r="P33" s="300"/>
      <c r="Q33" s="300"/>
      <c r="R33" s="300"/>
      <c r="S33" s="300"/>
      <c r="T33" s="300"/>
      <c r="U33" s="300"/>
      <c r="V33" s="116"/>
      <c r="W33" s="116"/>
      <c r="X33" s="116"/>
      <c r="Y33" s="116"/>
      <c r="Z33" s="116"/>
      <c r="AA33" s="116"/>
      <c r="AB33" s="76"/>
    </row>
    <row r="34" spans="3:28" s="55" customFormat="1" ht="12.75">
      <c r="C34" s="162"/>
      <c r="D34" s="76"/>
      <c r="E34"/>
      <c r="F34" s="104"/>
      <c r="G34" s="76"/>
      <c r="H34" s="104"/>
      <c r="I34" s="250"/>
      <c r="K34" s="115"/>
      <c r="L34" s="104"/>
      <c r="M34" s="107"/>
      <c r="N34" s="250"/>
      <c r="O34" s="104"/>
      <c r="P34" s="300"/>
      <c r="Q34" s="300"/>
      <c r="R34" s="300"/>
      <c r="S34" s="300"/>
      <c r="T34" s="300"/>
      <c r="U34" s="300"/>
      <c r="V34" s="116"/>
      <c r="W34" s="116"/>
      <c r="X34" s="116"/>
      <c r="Y34" s="116"/>
      <c r="Z34" s="116"/>
      <c r="AA34" s="116"/>
      <c r="AB34" s="76"/>
    </row>
    <row r="35" spans="2:28" ht="12.75">
      <c r="B35" t="s">
        <v>137</v>
      </c>
      <c r="C35" s="12" t="s">
        <v>138</v>
      </c>
      <c r="D35" s="111"/>
      <c r="G35" s="76"/>
      <c r="I35" s="249"/>
      <c r="K35" s="114"/>
      <c r="L35" s="3"/>
      <c r="M35" s="14"/>
      <c r="N35" s="250"/>
      <c r="O35" s="3"/>
      <c r="P35" s="301"/>
      <c r="Q35" s="301"/>
      <c r="R35" s="301"/>
      <c r="S35" s="301"/>
      <c r="T35" s="301"/>
      <c r="U35" s="301"/>
      <c r="V35" s="114">
        <f aca="true" t="shared" si="13" ref="V35:AA35">SUM(V36:V47)</f>
        <v>0</v>
      </c>
      <c r="W35" s="114">
        <f t="shared" si="13"/>
        <v>0</v>
      </c>
      <c r="X35" s="114">
        <f t="shared" si="13"/>
        <v>0</v>
      </c>
      <c r="Y35" s="114">
        <f t="shared" si="13"/>
        <v>0</v>
      </c>
      <c r="Z35" s="114">
        <f t="shared" si="13"/>
        <v>0</v>
      </c>
      <c r="AA35" s="114">
        <f t="shared" si="13"/>
        <v>0</v>
      </c>
      <c r="AB35" s="76"/>
    </row>
    <row r="36" spans="3:28" ht="12.75">
      <c r="C36" s="12" t="s">
        <v>365</v>
      </c>
      <c r="D36" s="111"/>
      <c r="F36" s="3"/>
      <c r="G36" s="76">
        <v>1</v>
      </c>
      <c r="H36" s="3"/>
      <c r="I36" s="250">
        <f>'Step4-Industrial Hg use'!C13</f>
        <v>0</v>
      </c>
      <c r="J36" s="8" t="s">
        <v>471</v>
      </c>
      <c r="K36" s="115">
        <f>I36*G36</f>
        <v>0</v>
      </c>
      <c r="L36" s="3"/>
      <c r="M36" s="14" t="s">
        <v>365</v>
      </c>
      <c r="N36" s="250">
        <f>K36</f>
        <v>0</v>
      </c>
      <c r="O36" s="3" t="s">
        <v>36</v>
      </c>
      <c r="P36" s="300">
        <v>0.005</v>
      </c>
      <c r="Q36" s="300">
        <v>0.005</v>
      </c>
      <c r="R36" s="300">
        <v>0.1</v>
      </c>
      <c r="S36" s="300"/>
      <c r="T36" s="300">
        <v>0.1</v>
      </c>
      <c r="U36" s="300">
        <v>0.01</v>
      </c>
      <c r="V36" s="116">
        <f aca="true" t="shared" si="14" ref="V36:AA36">$N36*P36</f>
        <v>0</v>
      </c>
      <c r="W36" s="116">
        <f t="shared" si="14"/>
        <v>0</v>
      </c>
      <c r="X36" s="116">
        <f t="shared" si="14"/>
        <v>0</v>
      </c>
      <c r="Y36" s="116">
        <f t="shared" si="14"/>
        <v>0</v>
      </c>
      <c r="Z36" s="116">
        <f t="shared" si="14"/>
        <v>0</v>
      </c>
      <c r="AA36" s="116">
        <f t="shared" si="14"/>
        <v>0</v>
      </c>
      <c r="AB36" s="76"/>
    </row>
    <row r="37" spans="3:28" ht="38.25">
      <c r="C37" s="53" t="s">
        <v>139</v>
      </c>
      <c r="D37" s="130"/>
      <c r="E37" s="472">
        <v>320</v>
      </c>
      <c r="F37" s="3" t="s">
        <v>350</v>
      </c>
      <c r="G37" s="168">
        <v>320</v>
      </c>
      <c r="H37" s="3" t="s">
        <v>350</v>
      </c>
      <c r="I37" s="250"/>
      <c r="J37" t="s">
        <v>342</v>
      </c>
      <c r="K37" s="115">
        <f>G37*I37</f>
        <v>0</v>
      </c>
      <c r="L37" s="3" t="s">
        <v>36</v>
      </c>
      <c r="M37" s="15"/>
      <c r="N37" s="250"/>
      <c r="O37" s="3"/>
      <c r="P37" s="300"/>
      <c r="Q37" s="300"/>
      <c r="R37" s="300"/>
      <c r="S37" s="300"/>
      <c r="T37" s="300"/>
      <c r="U37" s="300"/>
      <c r="V37" s="116"/>
      <c r="W37" s="116"/>
      <c r="X37" s="116"/>
      <c r="Y37" s="116"/>
      <c r="Z37" s="116"/>
      <c r="AA37" s="116"/>
      <c r="AB37" s="76"/>
    </row>
    <row r="38" spans="3:28" ht="12.75">
      <c r="C38" s="53" t="s">
        <v>140</v>
      </c>
      <c r="D38" s="130"/>
      <c r="E38" s="472">
        <v>12</v>
      </c>
      <c r="F38" s="3" t="s">
        <v>350</v>
      </c>
      <c r="G38" s="168">
        <v>12</v>
      </c>
      <c r="H38" s="3" t="s">
        <v>350</v>
      </c>
      <c r="I38" s="250"/>
      <c r="J38" t="s">
        <v>342</v>
      </c>
      <c r="K38" s="115">
        <f>G38*I38</f>
        <v>0</v>
      </c>
      <c r="L38" s="3" t="s">
        <v>36</v>
      </c>
      <c r="M38" s="15"/>
      <c r="N38" s="250"/>
      <c r="O38" s="3"/>
      <c r="P38" s="300"/>
      <c r="Q38" s="300"/>
      <c r="R38" s="300"/>
      <c r="S38" s="300"/>
      <c r="T38" s="300"/>
      <c r="U38" s="300"/>
      <c r="V38" s="116"/>
      <c r="W38" s="116"/>
      <c r="X38" s="116"/>
      <c r="Y38" s="116"/>
      <c r="Z38" s="116"/>
      <c r="AA38" s="116"/>
      <c r="AB38" s="76"/>
    </row>
    <row r="39" spans="3:28" ht="12.75">
      <c r="C39" s="53" t="s">
        <v>141</v>
      </c>
      <c r="D39" s="130"/>
      <c r="E39" s="472">
        <v>5</v>
      </c>
      <c r="F39" s="3" t="s">
        <v>350</v>
      </c>
      <c r="G39" s="168">
        <v>5</v>
      </c>
      <c r="H39" s="3" t="s">
        <v>350</v>
      </c>
      <c r="I39" s="250"/>
      <c r="J39" t="s">
        <v>342</v>
      </c>
      <c r="K39" s="115">
        <f>G39*I39</f>
        <v>0</v>
      </c>
      <c r="L39" s="3" t="s">
        <v>36</v>
      </c>
      <c r="M39" s="15"/>
      <c r="N39" s="250"/>
      <c r="O39" s="3"/>
      <c r="P39" s="300"/>
      <c r="Q39" s="300"/>
      <c r="R39" s="300"/>
      <c r="S39" s="300"/>
      <c r="T39" s="300"/>
      <c r="U39" s="300"/>
      <c r="V39" s="116"/>
      <c r="W39" s="116"/>
      <c r="X39" s="116"/>
      <c r="Y39" s="116"/>
      <c r="Z39" s="116"/>
      <c r="AA39" s="116"/>
      <c r="AB39" s="76"/>
    </row>
    <row r="40" spans="3:28" ht="12.75">
      <c r="C40" s="53" t="s">
        <v>142</v>
      </c>
      <c r="D40" s="130"/>
      <c r="E40" s="472">
        <v>4</v>
      </c>
      <c r="F40" s="3" t="s">
        <v>350</v>
      </c>
      <c r="G40" s="168">
        <v>4</v>
      </c>
      <c r="H40" s="3" t="s">
        <v>350</v>
      </c>
      <c r="I40" s="250"/>
      <c r="J40" t="s">
        <v>342</v>
      </c>
      <c r="K40" s="115">
        <f>G40*I40</f>
        <v>0</v>
      </c>
      <c r="L40" s="3" t="s">
        <v>36</v>
      </c>
      <c r="N40" s="250"/>
      <c r="O40" s="3"/>
      <c r="P40" s="300"/>
      <c r="Q40" s="300"/>
      <c r="R40" s="300"/>
      <c r="S40" s="300"/>
      <c r="T40" s="300"/>
      <c r="U40" s="301"/>
      <c r="V40" s="116"/>
      <c r="W40" s="116"/>
      <c r="X40" s="116"/>
      <c r="Y40" s="116"/>
      <c r="Z40" s="116"/>
      <c r="AA40" s="116"/>
      <c r="AB40" s="76"/>
    </row>
    <row r="41" spans="3:28" ht="25.5">
      <c r="C41" s="53" t="s">
        <v>143</v>
      </c>
      <c r="D41" s="130"/>
      <c r="E41" s="472" t="s">
        <v>118</v>
      </c>
      <c r="F41" s="3" t="s">
        <v>350</v>
      </c>
      <c r="G41" s="168">
        <v>0.25</v>
      </c>
      <c r="H41" s="3" t="s">
        <v>350</v>
      </c>
      <c r="I41" s="250"/>
      <c r="J41" t="s">
        <v>342</v>
      </c>
      <c r="K41" s="115">
        <f>G41*I41</f>
        <v>0</v>
      </c>
      <c r="L41" s="3" t="s">
        <v>36</v>
      </c>
      <c r="N41" s="250"/>
      <c r="O41" s="3"/>
      <c r="P41" s="300"/>
      <c r="Q41" s="300"/>
      <c r="R41" s="300"/>
      <c r="S41" s="300"/>
      <c r="T41" s="300"/>
      <c r="U41" s="301"/>
      <c r="V41" s="172"/>
      <c r="W41" s="172"/>
      <c r="X41" s="172"/>
      <c r="Y41" s="172"/>
      <c r="Z41" s="172"/>
      <c r="AA41" s="172"/>
      <c r="AB41" s="76"/>
    </row>
    <row r="42" spans="3:28" ht="12.75">
      <c r="C42" s="12" t="s">
        <v>102</v>
      </c>
      <c r="D42" s="111"/>
      <c r="E42" s="472"/>
      <c r="F42" s="3"/>
      <c r="G42" s="76"/>
      <c r="H42" s="3"/>
      <c r="I42" s="250"/>
      <c r="K42" s="169">
        <f>SUM(K43:K47)</f>
        <v>0</v>
      </c>
      <c r="L42" s="3" t="s">
        <v>36</v>
      </c>
      <c r="M42" s="16" t="s">
        <v>102</v>
      </c>
      <c r="N42" s="250"/>
      <c r="O42" s="3"/>
      <c r="P42" s="300"/>
      <c r="Q42" s="300"/>
      <c r="R42" s="300"/>
      <c r="S42" s="300"/>
      <c r="T42" s="300"/>
      <c r="U42" s="301"/>
      <c r="V42" s="172"/>
      <c r="W42" s="172"/>
      <c r="X42" s="172"/>
      <c r="Y42" s="172"/>
      <c r="Z42" s="172"/>
      <c r="AA42" s="172"/>
      <c r="AB42" s="76"/>
    </row>
    <row r="43" spans="3:28" ht="38.25">
      <c r="C43" s="53" t="s">
        <v>139</v>
      </c>
      <c r="D43" s="130"/>
      <c r="E43" s="472">
        <v>320</v>
      </c>
      <c r="F43" s="3" t="s">
        <v>350</v>
      </c>
      <c r="G43" s="168">
        <v>320</v>
      </c>
      <c r="H43" s="3" t="s">
        <v>350</v>
      </c>
      <c r="I43" s="250">
        <f>IF('Step6-Hg products-substances'!B27=yes,'Step6-Hg products-substances'!C27,0)</f>
        <v>0</v>
      </c>
      <c r="J43" t="s">
        <v>342</v>
      </c>
      <c r="K43" s="115">
        <f>G43*I43</f>
        <v>0</v>
      </c>
      <c r="L43" s="3" t="s">
        <v>36</v>
      </c>
      <c r="M43" s="15" t="s">
        <v>99</v>
      </c>
      <c r="N43" s="250">
        <f>IF(OR('Step5-Waste treatment+recycling'!$B$4=yes,'Step5-Waste treatment+recycling'!$B$4=yes),K42,0)</f>
        <v>0</v>
      </c>
      <c r="O43" s="3"/>
      <c r="P43" s="300"/>
      <c r="Q43" s="300"/>
      <c r="R43" s="300"/>
      <c r="S43" s="300"/>
      <c r="T43" s="300">
        <v>1</v>
      </c>
      <c r="U43" s="300"/>
      <c r="V43" s="116">
        <f aca="true" t="shared" si="15" ref="V43:Y45">$N43*P43</f>
        <v>0</v>
      </c>
      <c r="W43" s="116">
        <f t="shared" si="15"/>
        <v>0</v>
      </c>
      <c r="X43" s="116">
        <f t="shared" si="15"/>
        <v>0</v>
      </c>
      <c r="Y43" s="116">
        <f t="shared" si="15"/>
        <v>0</v>
      </c>
      <c r="Z43" s="116">
        <f aca="true" t="shared" si="16" ref="Z43:AA45">$N43*T43</f>
        <v>0</v>
      </c>
      <c r="AA43" s="116">
        <f t="shared" si="16"/>
        <v>0</v>
      </c>
      <c r="AB43" s="76"/>
    </row>
    <row r="44" spans="3:28" ht="25.5">
      <c r="C44" s="53" t="s">
        <v>140</v>
      </c>
      <c r="D44" s="130"/>
      <c r="E44" s="472">
        <v>12</v>
      </c>
      <c r="F44" s="3" t="s">
        <v>350</v>
      </c>
      <c r="G44" s="168">
        <v>12</v>
      </c>
      <c r="H44" s="3" t="s">
        <v>350</v>
      </c>
      <c r="I44" s="250">
        <f>IF('Step6-Hg products-substances'!B28=yes,'Step6-Hg products-substances'!C28/3,0)</f>
        <v>0</v>
      </c>
      <c r="J44" t="s">
        <v>342</v>
      </c>
      <c r="K44" s="115">
        <f>G44*I44</f>
        <v>0</v>
      </c>
      <c r="L44" s="3" t="s">
        <v>36</v>
      </c>
      <c r="M44" s="15" t="s">
        <v>114</v>
      </c>
      <c r="N44" s="250">
        <f>IF(OR('Step5-Waste treatment+recycling'!$B$4=no,'Step5-Waste treatment+recycling'!$B$4=no),K42,0)</f>
        <v>0</v>
      </c>
      <c r="O44" s="3"/>
      <c r="P44" s="300">
        <v>0.25</v>
      </c>
      <c r="Q44" s="300"/>
      <c r="R44" s="300">
        <v>0.25</v>
      </c>
      <c r="S44" s="300"/>
      <c r="T44" s="300">
        <v>0.5</v>
      </c>
      <c r="U44" s="300"/>
      <c r="V44" s="116">
        <f t="shared" si="15"/>
        <v>0</v>
      </c>
      <c r="W44" s="116">
        <f t="shared" si="15"/>
        <v>0</v>
      </c>
      <c r="X44" s="116">
        <f t="shared" si="15"/>
        <v>0</v>
      </c>
      <c r="Y44" s="116">
        <f t="shared" si="15"/>
        <v>0</v>
      </c>
      <c r="Z44" s="116">
        <f t="shared" si="16"/>
        <v>0</v>
      </c>
      <c r="AA44" s="116">
        <f t="shared" si="16"/>
        <v>0</v>
      </c>
      <c r="AB44" s="76"/>
    </row>
    <row r="45" spans="3:28" ht="25.5">
      <c r="C45" s="53" t="s">
        <v>141</v>
      </c>
      <c r="D45" s="130"/>
      <c r="E45" s="472">
        <v>5</v>
      </c>
      <c r="F45" s="3" t="s">
        <v>350</v>
      </c>
      <c r="G45" s="168">
        <v>5</v>
      </c>
      <c r="H45" s="3" t="s">
        <v>350</v>
      </c>
      <c r="I45" s="250">
        <f>IF('Step6-Hg products-substances'!B28=yes,'Step6-Hg products-substances'!C28/3,0)</f>
        <v>0</v>
      </c>
      <c r="J45" t="s">
        <v>342</v>
      </c>
      <c r="K45" s="115">
        <f>G45*I45</f>
        <v>0</v>
      </c>
      <c r="L45" s="3" t="s">
        <v>36</v>
      </c>
      <c r="M45" s="15" t="s">
        <v>100</v>
      </c>
      <c r="N45" s="250"/>
      <c r="O45" s="3"/>
      <c r="P45" s="300"/>
      <c r="Q45" s="300"/>
      <c r="R45" s="300"/>
      <c r="S45" s="300"/>
      <c r="T45" s="300">
        <v>0.6</v>
      </c>
      <c r="U45" s="300">
        <v>0.4</v>
      </c>
      <c r="V45" s="116">
        <f t="shared" si="15"/>
        <v>0</v>
      </c>
      <c r="W45" s="116">
        <f t="shared" si="15"/>
        <v>0</v>
      </c>
      <c r="X45" s="116">
        <f t="shared" si="15"/>
        <v>0</v>
      </c>
      <c r="Y45" s="116">
        <f t="shared" si="15"/>
        <v>0</v>
      </c>
      <c r="Z45" s="116">
        <f t="shared" si="16"/>
        <v>0</v>
      </c>
      <c r="AA45" s="116">
        <f t="shared" si="16"/>
        <v>0</v>
      </c>
      <c r="AB45" s="76"/>
    </row>
    <row r="46" spans="3:28" ht="12.75">
      <c r="C46" s="53" t="s">
        <v>142</v>
      </c>
      <c r="D46" s="130"/>
      <c r="E46">
        <v>4</v>
      </c>
      <c r="F46" s="3" t="s">
        <v>350</v>
      </c>
      <c r="G46" s="168">
        <v>4</v>
      </c>
      <c r="H46" s="3" t="s">
        <v>350</v>
      </c>
      <c r="I46" s="250">
        <f>IF('Step6-Hg products-substances'!B28=yes,'Step6-Hg products-substances'!C28/3,0)</f>
        <v>0</v>
      </c>
      <c r="J46" t="s">
        <v>342</v>
      </c>
      <c r="K46" s="115">
        <f>G46*I46</f>
        <v>0</v>
      </c>
      <c r="L46" s="3" t="s">
        <v>36</v>
      </c>
      <c r="N46" s="250"/>
      <c r="O46" s="3"/>
      <c r="P46" s="300"/>
      <c r="Q46" s="300"/>
      <c r="R46" s="300"/>
      <c r="S46" s="300"/>
      <c r="T46" s="300"/>
      <c r="U46" s="301"/>
      <c r="V46" s="116"/>
      <c r="W46" s="116"/>
      <c r="X46" s="116"/>
      <c r="Y46" s="116"/>
      <c r="Z46" s="116"/>
      <c r="AA46" s="116"/>
      <c r="AB46" s="76"/>
    </row>
    <row r="47" spans="3:28" ht="25.5">
      <c r="C47" s="53" t="s">
        <v>143</v>
      </c>
      <c r="D47" s="130"/>
      <c r="E47" t="s">
        <v>118</v>
      </c>
      <c r="F47" s="3" t="s">
        <v>350</v>
      </c>
      <c r="G47" s="168">
        <v>0.25</v>
      </c>
      <c r="H47" s="3" t="s">
        <v>350</v>
      </c>
      <c r="I47" s="250">
        <f>IF('Step6-Hg products-substances'!B29=yes,'Step6-Hg products-substances'!C29,0)</f>
        <v>0</v>
      </c>
      <c r="J47" t="s">
        <v>342</v>
      </c>
      <c r="K47" s="115">
        <f>G47*I47</f>
        <v>0</v>
      </c>
      <c r="L47" s="3" t="s">
        <v>36</v>
      </c>
      <c r="N47" s="250"/>
      <c r="O47" s="3"/>
      <c r="P47" s="300"/>
      <c r="Q47" s="300"/>
      <c r="R47" s="300"/>
      <c r="S47" s="300"/>
      <c r="T47" s="300"/>
      <c r="U47" s="301"/>
      <c r="V47" s="116"/>
      <c r="W47" s="116"/>
      <c r="X47" s="116"/>
      <c r="Y47" s="116"/>
      <c r="Z47" s="116"/>
      <c r="AA47" s="116"/>
      <c r="AB47" s="76"/>
    </row>
    <row r="48" spans="3:28" s="55" customFormat="1" ht="12.75">
      <c r="C48" s="105"/>
      <c r="D48" s="76"/>
      <c r="G48" s="76"/>
      <c r="I48" s="249"/>
      <c r="K48" s="58"/>
      <c r="M48" s="163"/>
      <c r="N48" s="250"/>
      <c r="O48" s="104"/>
      <c r="P48" s="301"/>
      <c r="Q48" s="301"/>
      <c r="R48" s="301"/>
      <c r="S48" s="301"/>
      <c r="T48" s="301"/>
      <c r="U48" s="301"/>
      <c r="V48" s="58"/>
      <c r="W48" s="58"/>
      <c r="X48" s="58"/>
      <c r="Y48" s="58"/>
      <c r="Z48" s="58"/>
      <c r="AA48" s="58"/>
      <c r="AB48" s="76"/>
    </row>
    <row r="49" spans="2:28" s="48" customFormat="1" ht="25.5">
      <c r="B49" s="8" t="s">
        <v>136</v>
      </c>
      <c r="C49" s="12" t="s">
        <v>489</v>
      </c>
      <c r="D49" s="76"/>
      <c r="G49" s="76"/>
      <c r="I49" s="249"/>
      <c r="K49" s="58"/>
      <c r="M49" s="13"/>
      <c r="N49" s="250"/>
      <c r="O49" s="28"/>
      <c r="P49" s="301"/>
      <c r="Q49" s="301"/>
      <c r="R49" s="301"/>
      <c r="S49" s="301"/>
      <c r="T49" s="301"/>
      <c r="U49" s="301"/>
      <c r="V49" s="331">
        <f aca="true" t="shared" si="17" ref="V49:AA49">SUM(V50:V53)</f>
        <v>0</v>
      </c>
      <c r="W49" s="331">
        <f t="shared" si="17"/>
        <v>0</v>
      </c>
      <c r="X49" s="331">
        <f t="shared" si="17"/>
        <v>0</v>
      </c>
      <c r="Y49" s="331">
        <f t="shared" si="17"/>
        <v>0</v>
      </c>
      <c r="Z49" s="331">
        <f t="shared" si="17"/>
        <v>0</v>
      </c>
      <c r="AA49" s="331">
        <f t="shared" si="17"/>
        <v>0</v>
      </c>
      <c r="AB49" s="76"/>
    </row>
    <row r="50" spans="3:28" s="48" customFormat="1" ht="12.75">
      <c r="C50" s="12" t="s">
        <v>365</v>
      </c>
      <c r="D50" s="76"/>
      <c r="G50" s="76"/>
      <c r="I50" s="249"/>
      <c r="K50" s="58"/>
      <c r="M50" s="14" t="s">
        <v>101</v>
      </c>
      <c r="N50" s="250"/>
      <c r="O50" s="28"/>
      <c r="P50" s="301"/>
      <c r="Q50" s="301"/>
      <c r="R50" s="301"/>
      <c r="S50" s="301"/>
      <c r="T50" s="301"/>
      <c r="U50" s="301"/>
      <c r="V50" s="58"/>
      <c r="W50" s="58"/>
      <c r="X50" s="58"/>
      <c r="Y50" s="58"/>
      <c r="Z50" s="58"/>
      <c r="AA50" s="58"/>
      <c r="AB50" s="76"/>
    </row>
    <row r="51" spans="3:28" s="48" customFormat="1" ht="12.75">
      <c r="C51" s="67" t="s">
        <v>93</v>
      </c>
      <c r="D51" s="76"/>
      <c r="E51" s="48" t="s">
        <v>541</v>
      </c>
      <c r="F51" s="36" t="s">
        <v>120</v>
      </c>
      <c r="G51" s="76">
        <v>0.03</v>
      </c>
      <c r="H51" s="36" t="s">
        <v>120</v>
      </c>
      <c r="I51" s="330">
        <f>'Step6-Hg products-substances'!C31</f>
        <v>0</v>
      </c>
      <c r="J51" s="51" t="s">
        <v>119</v>
      </c>
      <c r="K51" s="542">
        <f>(I51*G51/1000)*'Step6-Hg products-substances'!$C$32/100</f>
        <v>0</v>
      </c>
      <c r="L51" s="3" t="s">
        <v>36</v>
      </c>
      <c r="M51" s="16" t="s">
        <v>102</v>
      </c>
      <c r="N51" s="250"/>
      <c r="O51" s="28"/>
      <c r="P51" s="301"/>
      <c r="Q51" s="301"/>
      <c r="R51" s="301"/>
      <c r="S51" s="301"/>
      <c r="T51" s="301"/>
      <c r="U51" s="301"/>
      <c r="V51" s="58"/>
      <c r="W51" s="58"/>
      <c r="X51" s="58"/>
      <c r="Y51" s="58"/>
      <c r="Z51" s="58"/>
      <c r="AA51" s="58"/>
      <c r="AB51" s="76"/>
    </row>
    <row r="52" spans="3:28" s="48" customFormat="1" ht="25.5">
      <c r="C52" s="96"/>
      <c r="D52" s="76"/>
      <c r="G52" s="76"/>
      <c r="I52" s="249"/>
      <c r="K52" s="58"/>
      <c r="M52" s="15" t="s">
        <v>99</v>
      </c>
      <c r="N52" s="250">
        <f>IF(OR('Step5-Waste treatment+recycling'!$B$4=yes,'Step5-Waste treatment+recycling'!$B$4=yes),K51,0)</f>
        <v>0</v>
      </c>
      <c r="O52" s="28"/>
      <c r="P52" s="301">
        <v>0.1</v>
      </c>
      <c r="Q52" s="301">
        <v>0.05</v>
      </c>
      <c r="R52" s="301"/>
      <c r="S52" s="301"/>
      <c r="T52" s="301">
        <v>0.85</v>
      </c>
      <c r="U52" s="301"/>
      <c r="V52" s="116">
        <f aca="true" t="shared" si="18" ref="V52:AA53">$N52*P52</f>
        <v>0</v>
      </c>
      <c r="W52" s="116">
        <f t="shared" si="18"/>
        <v>0</v>
      </c>
      <c r="X52" s="116">
        <f t="shared" si="18"/>
        <v>0</v>
      </c>
      <c r="Y52" s="116">
        <f t="shared" si="18"/>
        <v>0</v>
      </c>
      <c r="Z52" s="116">
        <f t="shared" si="18"/>
        <v>0</v>
      </c>
      <c r="AA52" s="116">
        <f t="shared" si="18"/>
        <v>0</v>
      </c>
      <c r="AB52" s="76"/>
    </row>
    <row r="53" spans="3:28" s="48" customFormat="1" ht="25.5">
      <c r="C53" s="96"/>
      <c r="D53" s="292"/>
      <c r="G53" s="292"/>
      <c r="I53" s="332"/>
      <c r="K53" s="333"/>
      <c r="M53" s="15" t="s">
        <v>114</v>
      </c>
      <c r="N53" s="334">
        <f>IF(OR('Step5-Waste treatment+recycling'!$B$4=no,'Step5-Waste treatment+recycling'!$B$4=no),K51,0)</f>
        <v>0</v>
      </c>
      <c r="O53" s="28"/>
      <c r="P53" s="456">
        <v>0.2</v>
      </c>
      <c r="Q53" s="456">
        <v>0.1</v>
      </c>
      <c r="R53" s="456">
        <v>0.4</v>
      </c>
      <c r="S53" s="456"/>
      <c r="T53" s="456">
        <v>0.3</v>
      </c>
      <c r="U53" s="456"/>
      <c r="V53" s="335">
        <f t="shared" si="18"/>
        <v>0</v>
      </c>
      <c r="W53" s="335">
        <f t="shared" si="18"/>
        <v>0</v>
      </c>
      <c r="X53" s="335">
        <f t="shared" si="18"/>
        <v>0</v>
      </c>
      <c r="Y53" s="335">
        <f t="shared" si="18"/>
        <v>0</v>
      </c>
      <c r="Z53" s="335">
        <f t="shared" si="18"/>
        <v>0</v>
      </c>
      <c r="AA53" s="335">
        <f t="shared" si="18"/>
        <v>0</v>
      </c>
      <c r="AB53" s="76"/>
    </row>
    <row r="54" spans="1:28" ht="25.5">
      <c r="A54" s="91"/>
      <c r="B54" s="336" t="s">
        <v>145</v>
      </c>
      <c r="C54" s="97" t="s">
        <v>135</v>
      </c>
      <c r="D54" s="111"/>
      <c r="E54" s="91"/>
      <c r="F54" s="91"/>
      <c r="G54" s="76"/>
      <c r="H54" s="91"/>
      <c r="I54" s="249"/>
      <c r="J54" s="91"/>
      <c r="K54" s="114"/>
      <c r="L54" s="88"/>
      <c r="M54" s="337"/>
      <c r="N54" s="250"/>
      <c r="O54" s="88"/>
      <c r="P54" s="301"/>
      <c r="Q54" s="301"/>
      <c r="R54" s="301"/>
      <c r="S54" s="301"/>
      <c r="T54" s="301"/>
      <c r="U54" s="301"/>
      <c r="V54" s="114">
        <f aca="true" t="shared" si="19" ref="V54:AA54">SUM(V55:V56)</f>
        <v>0</v>
      </c>
      <c r="W54" s="114">
        <f t="shared" si="19"/>
        <v>0</v>
      </c>
      <c r="X54" s="114">
        <f t="shared" si="19"/>
        <v>0</v>
      </c>
      <c r="Y54" s="114">
        <f t="shared" si="19"/>
        <v>0</v>
      </c>
      <c r="Z54" s="114">
        <f t="shared" si="19"/>
        <v>0</v>
      </c>
      <c r="AA54" s="114">
        <f t="shared" si="19"/>
        <v>0</v>
      </c>
      <c r="AB54" s="76"/>
    </row>
    <row r="55" spans="3:28" ht="12.75">
      <c r="C55" s="12" t="s">
        <v>365</v>
      </c>
      <c r="D55" s="111"/>
      <c r="E55" t="s">
        <v>43</v>
      </c>
      <c r="F55" s="3"/>
      <c r="G55" s="76">
        <v>1</v>
      </c>
      <c r="H55" s="3"/>
      <c r="I55" s="250">
        <f>'Step4-Industrial Hg use'!C15</f>
        <v>0</v>
      </c>
      <c r="J55" s="8" t="s">
        <v>471</v>
      </c>
      <c r="K55" s="115">
        <f>I55*G55</f>
        <v>0</v>
      </c>
      <c r="L55" s="3" t="s">
        <v>36</v>
      </c>
      <c r="M55" s="14" t="s">
        <v>101</v>
      </c>
      <c r="N55" s="250">
        <f>K55</f>
        <v>0</v>
      </c>
      <c r="O55" s="3" t="s">
        <v>36</v>
      </c>
      <c r="P55" s="300">
        <v>0.01</v>
      </c>
      <c r="Q55" s="300">
        <v>0.005</v>
      </c>
      <c r="R55" s="300">
        <v>0.1</v>
      </c>
      <c r="S55" s="300"/>
      <c r="T55" s="300">
        <v>0.1</v>
      </c>
      <c r="U55" s="300">
        <v>0.01</v>
      </c>
      <c r="V55" s="116">
        <f aca="true" t="shared" si="20" ref="V55:AA56">$N55*P55</f>
        <v>0</v>
      </c>
      <c r="W55" s="116">
        <f t="shared" si="20"/>
        <v>0</v>
      </c>
      <c r="X55" s="116">
        <f t="shared" si="20"/>
        <v>0</v>
      </c>
      <c r="Y55" s="116">
        <f t="shared" si="20"/>
        <v>0</v>
      </c>
      <c r="Z55" s="116">
        <f t="shared" si="20"/>
        <v>0</v>
      </c>
      <c r="AA55" s="116">
        <f t="shared" si="20"/>
        <v>0</v>
      </c>
      <c r="AB55" s="76"/>
    </row>
    <row r="56" spans="3:28" ht="12.75">
      <c r="C56" s="67" t="s">
        <v>93</v>
      </c>
      <c r="D56" s="111"/>
      <c r="E56" t="s">
        <v>43</v>
      </c>
      <c r="F56" s="3"/>
      <c r="G56" s="76" t="s">
        <v>43</v>
      </c>
      <c r="H56" s="3"/>
      <c r="I56" s="250"/>
      <c r="K56" s="115" t="s">
        <v>43</v>
      </c>
      <c r="L56" s="3"/>
      <c r="M56" s="16" t="s">
        <v>102</v>
      </c>
      <c r="N56" s="250"/>
      <c r="O56" s="3"/>
      <c r="P56" s="300"/>
      <c r="Q56" s="300"/>
      <c r="R56" s="300"/>
      <c r="S56" s="300"/>
      <c r="T56" s="300"/>
      <c r="U56" s="300"/>
      <c r="V56" s="116">
        <f t="shared" si="20"/>
        <v>0</v>
      </c>
      <c r="W56" s="116">
        <f t="shared" si="20"/>
        <v>0</v>
      </c>
      <c r="X56" s="116">
        <f t="shared" si="20"/>
        <v>0</v>
      </c>
      <c r="Y56" s="116">
        <f t="shared" si="20"/>
        <v>0</v>
      </c>
      <c r="Z56" s="116">
        <f t="shared" si="20"/>
        <v>0</v>
      </c>
      <c r="AA56" s="116">
        <f t="shared" si="20"/>
        <v>0</v>
      </c>
      <c r="AB56" s="76"/>
    </row>
    <row r="57" spans="3:28" s="55" customFormat="1" ht="12.75">
      <c r="C57" s="164"/>
      <c r="D57" s="111"/>
      <c r="F57" s="104"/>
      <c r="G57" s="76"/>
      <c r="H57" s="104"/>
      <c r="I57" s="250"/>
      <c r="K57" s="115"/>
      <c r="L57" s="104"/>
      <c r="M57" s="165"/>
      <c r="N57" s="250"/>
      <c r="O57" s="104"/>
      <c r="P57" s="300"/>
      <c r="Q57" s="300"/>
      <c r="R57" s="300"/>
      <c r="S57" s="300"/>
      <c r="T57" s="300"/>
      <c r="U57" s="300"/>
      <c r="V57" s="116"/>
      <c r="W57" s="116"/>
      <c r="X57" s="116"/>
      <c r="Y57" s="116"/>
      <c r="Z57" s="116"/>
      <c r="AA57" s="116"/>
      <c r="AB57" s="76"/>
    </row>
    <row r="58" spans="2:28" ht="12.75">
      <c r="B58" s="8" t="s">
        <v>402</v>
      </c>
      <c r="C58" s="12" t="s">
        <v>144</v>
      </c>
      <c r="D58" s="111"/>
      <c r="G58" s="76"/>
      <c r="I58" s="249"/>
      <c r="K58" s="114"/>
      <c r="L58" s="3"/>
      <c r="M58" s="14"/>
      <c r="N58" s="250"/>
      <c r="O58" s="3"/>
      <c r="P58" s="301"/>
      <c r="Q58" s="301"/>
      <c r="R58" s="301"/>
      <c r="S58" s="301"/>
      <c r="T58" s="301"/>
      <c r="U58" s="301"/>
      <c r="V58" s="114">
        <f aca="true" t="shared" si="21" ref="V58:AA58">SUM(V59:V60)</f>
        <v>0</v>
      </c>
      <c r="W58" s="114">
        <f t="shared" si="21"/>
        <v>0</v>
      </c>
      <c r="X58" s="114">
        <f t="shared" si="21"/>
        <v>0</v>
      </c>
      <c r="Y58" s="114">
        <f t="shared" si="21"/>
        <v>0</v>
      </c>
      <c r="Z58" s="114">
        <f t="shared" si="21"/>
        <v>0</v>
      </c>
      <c r="AA58" s="114">
        <f t="shared" si="21"/>
        <v>0</v>
      </c>
      <c r="AB58" s="76"/>
    </row>
    <row r="59" spans="3:28" ht="12.75">
      <c r="C59" s="12" t="s">
        <v>365</v>
      </c>
      <c r="D59" s="111"/>
      <c r="E59" s="6"/>
      <c r="F59" s="3"/>
      <c r="G59" s="76">
        <v>1</v>
      </c>
      <c r="H59" s="3"/>
      <c r="I59" s="250">
        <f>'Step4-Industrial Hg use'!C16</f>
        <v>0</v>
      </c>
      <c r="J59" t="s">
        <v>470</v>
      </c>
      <c r="K59" s="115">
        <f>I59*G59</f>
        <v>0</v>
      </c>
      <c r="L59" s="3" t="s">
        <v>36</v>
      </c>
      <c r="M59" s="14" t="s">
        <v>101</v>
      </c>
      <c r="N59" s="250">
        <f>K59</f>
        <v>0</v>
      </c>
      <c r="O59" s="3" t="s">
        <v>36</v>
      </c>
      <c r="P59" s="300">
        <v>0.01</v>
      </c>
      <c r="Q59" s="300">
        <v>0.005</v>
      </c>
      <c r="R59" s="300">
        <v>0.1</v>
      </c>
      <c r="S59" s="300"/>
      <c r="T59" s="300">
        <v>0.1</v>
      </c>
      <c r="U59" s="300">
        <v>0.01</v>
      </c>
      <c r="V59" s="116">
        <f aca="true" t="shared" si="22" ref="V59:AA60">$N59*P59</f>
        <v>0</v>
      </c>
      <c r="W59" s="116">
        <f t="shared" si="22"/>
        <v>0</v>
      </c>
      <c r="X59" s="116">
        <f t="shared" si="22"/>
        <v>0</v>
      </c>
      <c r="Y59" s="116">
        <f t="shared" si="22"/>
        <v>0</v>
      </c>
      <c r="Z59" s="116">
        <f t="shared" si="22"/>
        <v>0</v>
      </c>
      <c r="AA59" s="116">
        <f t="shared" si="22"/>
        <v>0</v>
      </c>
      <c r="AB59" s="76"/>
    </row>
    <row r="60" spans="3:28" ht="12.75">
      <c r="C60" s="67" t="s">
        <v>93</v>
      </c>
      <c r="D60" s="111"/>
      <c r="E60" s="6" t="s">
        <v>146</v>
      </c>
      <c r="F60" s="3" t="s">
        <v>351</v>
      </c>
      <c r="G60" s="76">
        <v>2.6</v>
      </c>
      <c r="H60" s="3" t="s">
        <v>351</v>
      </c>
      <c r="I60" s="250">
        <f>'Step6-Hg products-substances'!C34</f>
        <v>0</v>
      </c>
      <c r="J60" t="s">
        <v>343</v>
      </c>
      <c r="K60" s="115">
        <f>G60*I60</f>
        <v>0</v>
      </c>
      <c r="L60" s="3" t="s">
        <v>36</v>
      </c>
      <c r="M60" s="16" t="s">
        <v>147</v>
      </c>
      <c r="N60" s="250">
        <f>K60</f>
        <v>0</v>
      </c>
      <c r="O60" s="17"/>
      <c r="P60" s="300">
        <v>0.92</v>
      </c>
      <c r="Q60" s="300">
        <v>0.05</v>
      </c>
      <c r="R60" s="300"/>
      <c r="S60" s="300"/>
      <c r="T60" s="300">
        <v>0.03</v>
      </c>
      <c r="U60" s="300"/>
      <c r="V60" s="116">
        <f t="shared" si="22"/>
        <v>0</v>
      </c>
      <c r="W60" s="116">
        <f t="shared" si="22"/>
        <v>0</v>
      </c>
      <c r="X60" s="116">
        <f t="shared" si="22"/>
        <v>0</v>
      </c>
      <c r="Y60" s="116">
        <f t="shared" si="22"/>
        <v>0</v>
      </c>
      <c r="Z60" s="116">
        <f t="shared" si="22"/>
        <v>0</v>
      </c>
      <c r="AA60" s="116">
        <f t="shared" si="22"/>
        <v>0</v>
      </c>
      <c r="AB60" s="76"/>
    </row>
    <row r="61" spans="3:28" s="55" customFormat="1" ht="12.75">
      <c r="C61" s="164"/>
      <c r="D61" s="111"/>
      <c r="F61" s="104"/>
      <c r="G61" s="76"/>
      <c r="H61" s="104"/>
      <c r="I61" s="250"/>
      <c r="K61" s="115"/>
      <c r="L61" s="104"/>
      <c r="M61" s="165"/>
      <c r="N61" s="250"/>
      <c r="O61" s="104"/>
      <c r="P61" s="300"/>
      <c r="Q61" s="300"/>
      <c r="R61" s="300"/>
      <c r="S61" s="300"/>
      <c r="T61" s="300"/>
      <c r="U61" s="300"/>
      <c r="V61" s="116"/>
      <c r="W61" s="116"/>
      <c r="X61" s="116"/>
      <c r="Y61" s="116"/>
      <c r="Z61" s="116"/>
      <c r="AA61" s="116"/>
      <c r="AB61" s="76"/>
    </row>
    <row r="62" spans="2:28" ht="25.5">
      <c r="B62" s="36" t="s">
        <v>485</v>
      </c>
      <c r="C62" s="12" t="s">
        <v>148</v>
      </c>
      <c r="D62" s="111"/>
      <c r="G62" s="287"/>
      <c r="I62" s="249"/>
      <c r="K62" s="114"/>
      <c r="L62" s="3"/>
      <c r="M62" s="14"/>
      <c r="N62" s="250"/>
      <c r="O62" s="3"/>
      <c r="P62" s="301"/>
      <c r="Q62" s="301"/>
      <c r="R62" s="301"/>
      <c r="S62" s="301"/>
      <c r="T62" s="301"/>
      <c r="U62" s="301"/>
      <c r="V62" s="114">
        <f aca="true" t="shared" si="23" ref="V62:AA62">SUM(V63:V64)</f>
        <v>0</v>
      </c>
      <c r="W62" s="114">
        <f t="shared" si="23"/>
        <v>0</v>
      </c>
      <c r="X62" s="114">
        <f t="shared" si="23"/>
        <v>0</v>
      </c>
      <c r="Y62" s="114">
        <f t="shared" si="23"/>
        <v>0</v>
      </c>
      <c r="Z62" s="114">
        <f t="shared" si="23"/>
        <v>0</v>
      </c>
      <c r="AA62" s="114">
        <f t="shared" si="23"/>
        <v>0</v>
      </c>
      <c r="AB62" s="76"/>
    </row>
    <row r="63" spans="3:28" ht="12.75">
      <c r="C63" s="12" t="s">
        <v>365</v>
      </c>
      <c r="D63" s="111"/>
      <c r="E63" s="18"/>
      <c r="F63" s="3" t="s">
        <v>351</v>
      </c>
      <c r="G63" s="287">
        <v>1</v>
      </c>
      <c r="I63" s="302">
        <f>'Step4-Industrial Hg use'!C17</f>
        <v>0</v>
      </c>
      <c r="J63" s="8" t="s">
        <v>471</v>
      </c>
      <c r="K63" s="115">
        <f>I63*G63</f>
        <v>0</v>
      </c>
      <c r="L63" s="3" t="s">
        <v>36</v>
      </c>
      <c r="M63" s="14" t="s">
        <v>101</v>
      </c>
      <c r="N63" s="250">
        <f>K63</f>
        <v>0</v>
      </c>
      <c r="O63" s="3" t="s">
        <v>36</v>
      </c>
      <c r="P63" s="300">
        <v>0.01</v>
      </c>
      <c r="Q63" s="300">
        <v>0.005</v>
      </c>
      <c r="R63" s="300">
        <v>0.1</v>
      </c>
      <c r="S63" s="300"/>
      <c r="T63" s="300">
        <v>0.1</v>
      </c>
      <c r="U63" s="300">
        <v>0.01</v>
      </c>
      <c r="V63" s="116">
        <f aca="true" t="shared" si="24" ref="V63:AA64">$N63*P63</f>
        <v>0</v>
      </c>
      <c r="W63" s="116">
        <f t="shared" si="24"/>
        <v>0</v>
      </c>
      <c r="X63" s="116">
        <f t="shared" si="24"/>
        <v>0</v>
      </c>
      <c r="Y63" s="116">
        <f t="shared" si="24"/>
        <v>0</v>
      </c>
      <c r="Z63" s="116">
        <f t="shared" si="24"/>
        <v>0</v>
      </c>
      <c r="AA63" s="116">
        <f t="shared" si="24"/>
        <v>0</v>
      </c>
      <c r="AB63" s="76"/>
    </row>
    <row r="64" spans="3:28" ht="12.75">
      <c r="C64" s="67" t="s">
        <v>93</v>
      </c>
      <c r="D64" s="111"/>
      <c r="E64" s="18" t="s">
        <v>149</v>
      </c>
      <c r="F64" s="3" t="s">
        <v>351</v>
      </c>
      <c r="G64" s="76">
        <v>30</v>
      </c>
      <c r="H64" s="3" t="s">
        <v>351</v>
      </c>
      <c r="I64" s="250">
        <f>'Step6-Hg products-substances'!C36</f>
        <v>0</v>
      </c>
      <c r="J64" t="s">
        <v>344</v>
      </c>
      <c r="K64" s="115">
        <f>G64*I64</f>
        <v>0</v>
      </c>
      <c r="L64" s="3" t="s">
        <v>36</v>
      </c>
      <c r="M64" s="16" t="s">
        <v>147</v>
      </c>
      <c r="N64" s="250">
        <f>K64</f>
        <v>0</v>
      </c>
      <c r="O64" s="17"/>
      <c r="P64" s="300"/>
      <c r="Q64" s="300">
        <v>0.95</v>
      </c>
      <c r="R64" s="300">
        <v>0.05</v>
      </c>
      <c r="S64" s="300"/>
      <c r="T64" s="300"/>
      <c r="U64" s="300"/>
      <c r="V64" s="116">
        <f t="shared" si="24"/>
        <v>0</v>
      </c>
      <c r="W64" s="116">
        <f t="shared" si="24"/>
        <v>0</v>
      </c>
      <c r="X64" s="116">
        <f t="shared" si="24"/>
        <v>0</v>
      </c>
      <c r="Y64" s="116">
        <f t="shared" si="24"/>
        <v>0</v>
      </c>
      <c r="Z64" s="116">
        <f t="shared" si="24"/>
        <v>0</v>
      </c>
      <c r="AA64" s="116">
        <f t="shared" si="24"/>
        <v>0</v>
      </c>
      <c r="AB64" s="76"/>
    </row>
    <row r="65" spans="3:28" s="55" customFormat="1" ht="12.75">
      <c r="C65" s="166"/>
      <c r="D65" s="111"/>
      <c r="F65" s="104"/>
      <c r="G65" s="76"/>
      <c r="H65" s="104"/>
      <c r="I65" s="250"/>
      <c r="K65" s="115"/>
      <c r="L65" s="104"/>
      <c r="M65" s="165"/>
      <c r="N65" s="249"/>
      <c r="O65" s="104"/>
      <c r="P65" s="288"/>
      <c r="Q65" s="288"/>
      <c r="R65" s="288"/>
      <c r="S65" s="288"/>
      <c r="T65" s="288"/>
      <c r="U65" s="288"/>
      <c r="V65" s="116"/>
      <c r="W65" s="116"/>
      <c r="X65" s="116"/>
      <c r="Y65" s="116"/>
      <c r="Z65" s="116"/>
      <c r="AA65" s="116"/>
      <c r="AB65" s="76"/>
    </row>
    <row r="66" spans="3:27" s="3" customFormat="1" ht="12.75">
      <c r="C66" s="40"/>
      <c r="D66" s="7"/>
      <c r="I66" s="251"/>
      <c r="K66" s="21"/>
      <c r="M66" s="59"/>
      <c r="N66" s="241"/>
      <c r="P66" s="60"/>
      <c r="Q66" s="60"/>
      <c r="R66" s="60"/>
      <c r="S66" s="60"/>
      <c r="T66" s="60"/>
      <c r="U66" s="60"/>
      <c r="V66" s="22"/>
      <c r="W66" s="22"/>
      <c r="X66" s="22"/>
      <c r="Y66" s="22"/>
      <c r="Z66" s="22"/>
      <c r="AA66" s="22"/>
    </row>
    <row r="67" spans="3:27" s="3" customFormat="1" ht="12.75">
      <c r="C67" s="7" t="s">
        <v>56</v>
      </c>
      <c r="D67" s="36" t="s">
        <v>364</v>
      </c>
      <c r="I67" s="251"/>
      <c r="K67" s="21"/>
      <c r="M67" s="59"/>
      <c r="N67" s="241"/>
      <c r="P67" s="60"/>
      <c r="Q67" s="60"/>
      <c r="R67" s="60"/>
      <c r="S67" s="60"/>
      <c r="T67" s="60"/>
      <c r="U67" s="60"/>
      <c r="V67" s="22"/>
      <c r="W67" s="22"/>
      <c r="X67" s="22"/>
      <c r="Y67" s="22"/>
      <c r="Z67" s="22"/>
      <c r="AA67" s="22"/>
    </row>
    <row r="68" spans="3:27" s="3" customFormat="1" ht="12.75">
      <c r="C68" s="40"/>
      <c r="D68" s="7"/>
      <c r="I68" s="251"/>
      <c r="K68" s="21"/>
      <c r="M68" s="59"/>
      <c r="N68" s="241"/>
      <c r="P68" s="60"/>
      <c r="Q68" s="60"/>
      <c r="R68" s="60"/>
      <c r="S68" s="60"/>
      <c r="T68" s="60"/>
      <c r="U68" s="60"/>
      <c r="V68" s="22"/>
      <c r="W68" s="22"/>
      <c r="X68" s="22"/>
      <c r="Y68" s="22"/>
      <c r="Z68" s="22"/>
      <c r="AA68" s="22"/>
    </row>
    <row r="69" spans="3:27" s="3" customFormat="1" ht="12.75">
      <c r="C69" s="40"/>
      <c r="D69" s="7"/>
      <c r="I69" s="251"/>
      <c r="K69" s="21"/>
      <c r="M69" s="59"/>
      <c r="N69" s="241"/>
      <c r="P69" s="60"/>
      <c r="Q69" s="60"/>
      <c r="R69" s="60"/>
      <c r="S69" s="60"/>
      <c r="T69" s="60"/>
      <c r="U69" s="60"/>
      <c r="V69" s="22"/>
      <c r="W69" s="22"/>
      <c r="X69" s="22"/>
      <c r="Y69" s="22"/>
      <c r="Z69" s="22"/>
      <c r="AA69" s="22"/>
    </row>
    <row r="70" spans="3:27" s="3" customFormat="1" ht="12.75">
      <c r="C70" s="40"/>
      <c r="D70" s="7"/>
      <c r="I70" s="251"/>
      <c r="K70" s="21"/>
      <c r="M70" s="59"/>
      <c r="N70" s="241"/>
      <c r="P70" s="60"/>
      <c r="Q70" s="60"/>
      <c r="R70" s="60"/>
      <c r="S70" s="60"/>
      <c r="T70" s="60"/>
      <c r="U70" s="60"/>
      <c r="V70" s="22"/>
      <c r="W70" s="22"/>
      <c r="X70" s="22"/>
      <c r="Y70" s="22"/>
      <c r="Z70" s="22"/>
      <c r="AA70" s="22"/>
    </row>
    <row r="71" spans="3:27" s="3" customFormat="1" ht="12.75">
      <c r="C71" s="40"/>
      <c r="D71" s="7"/>
      <c r="I71" s="251"/>
      <c r="K71" s="21"/>
      <c r="M71" s="59"/>
      <c r="N71" s="241"/>
      <c r="P71" s="60"/>
      <c r="Q71" s="60"/>
      <c r="R71" s="60"/>
      <c r="S71" s="60"/>
      <c r="T71" s="60"/>
      <c r="U71" s="60"/>
      <c r="V71" s="22"/>
      <c r="W71" s="22"/>
      <c r="X71" s="22"/>
      <c r="Y71" s="22"/>
      <c r="Z71" s="22"/>
      <c r="AA71" s="22"/>
    </row>
    <row r="72" spans="3:27" s="3" customFormat="1" ht="12.75">
      <c r="C72" s="40"/>
      <c r="D72" s="7"/>
      <c r="I72" s="251"/>
      <c r="K72" s="21"/>
      <c r="M72" s="59"/>
      <c r="N72" s="241"/>
      <c r="P72" s="60"/>
      <c r="Q72" s="60"/>
      <c r="R72" s="60"/>
      <c r="S72" s="60"/>
      <c r="T72" s="60"/>
      <c r="U72" s="60"/>
      <c r="V72" s="22"/>
      <c r="W72" s="22"/>
      <c r="X72" s="22"/>
      <c r="Y72" s="22"/>
      <c r="Z72" s="22"/>
      <c r="AA72" s="22"/>
    </row>
    <row r="73" spans="3:27" s="3" customFormat="1" ht="12.75">
      <c r="C73" s="36"/>
      <c r="E73" s="11"/>
      <c r="I73" s="251"/>
      <c r="K73" s="21"/>
      <c r="M73" s="62"/>
      <c r="N73" s="241"/>
      <c r="P73" s="60"/>
      <c r="Q73" s="60"/>
      <c r="R73" s="60"/>
      <c r="S73" s="60"/>
      <c r="T73" s="60"/>
      <c r="U73" s="60"/>
      <c r="V73" s="22"/>
      <c r="W73" s="22"/>
      <c r="X73" s="22"/>
      <c r="Y73" s="22"/>
      <c r="Z73" s="22"/>
      <c r="AA73" s="22"/>
    </row>
    <row r="74" spans="3:27" s="3" customFormat="1" ht="12.75">
      <c r="C74" s="36"/>
      <c r="E74" s="11"/>
      <c r="I74" s="251"/>
      <c r="K74" s="21"/>
      <c r="M74" s="62"/>
      <c r="N74" s="241"/>
      <c r="P74" s="60"/>
      <c r="Q74" s="60"/>
      <c r="R74" s="60"/>
      <c r="S74" s="60"/>
      <c r="T74" s="60"/>
      <c r="U74" s="60"/>
      <c r="V74" s="22"/>
      <c r="W74" s="22"/>
      <c r="X74" s="22"/>
      <c r="Y74" s="22"/>
      <c r="Z74" s="22"/>
      <c r="AA74" s="22"/>
    </row>
    <row r="75" spans="3:27" s="3" customFormat="1" ht="12.75">
      <c r="C75" s="36"/>
      <c r="E75" s="11"/>
      <c r="I75" s="251"/>
      <c r="K75" s="21"/>
      <c r="M75" s="62"/>
      <c r="N75" s="241"/>
      <c r="P75" s="60"/>
      <c r="Q75" s="60"/>
      <c r="R75" s="60"/>
      <c r="S75" s="60"/>
      <c r="T75" s="60"/>
      <c r="U75" s="60"/>
      <c r="V75" s="22"/>
      <c r="W75" s="22"/>
      <c r="X75" s="22"/>
      <c r="Y75" s="22"/>
      <c r="Z75" s="22"/>
      <c r="AA75" s="22"/>
    </row>
    <row r="76" spans="3:27" s="3" customFormat="1" ht="12.75">
      <c r="C76" s="36"/>
      <c r="E76" s="11"/>
      <c r="I76" s="251"/>
      <c r="K76" s="21"/>
      <c r="M76" s="63"/>
      <c r="N76" s="241"/>
      <c r="P76" s="23"/>
      <c r="Q76" s="23"/>
      <c r="R76" s="24"/>
      <c r="S76" s="24"/>
      <c r="T76" s="23"/>
      <c r="V76" s="22"/>
      <c r="W76" s="22"/>
      <c r="X76" s="22"/>
      <c r="Y76" s="22"/>
      <c r="Z76" s="22"/>
      <c r="AA76" s="22"/>
    </row>
    <row r="77" spans="9:14" s="3" customFormat="1" ht="12.75">
      <c r="I77" s="241"/>
      <c r="M77" s="63"/>
      <c r="N77" s="241"/>
    </row>
    <row r="78" spans="9:14" s="3" customFormat="1" ht="12.75">
      <c r="I78" s="241"/>
      <c r="M78" s="63"/>
      <c r="N78" s="241"/>
    </row>
    <row r="79" spans="3:27" s="3" customFormat="1" ht="12.75">
      <c r="C79" s="7"/>
      <c r="D79" s="7"/>
      <c r="I79" s="241"/>
      <c r="M79" s="64"/>
      <c r="N79" s="241"/>
      <c r="V79" s="25"/>
      <c r="W79" s="25"/>
      <c r="X79" s="25"/>
      <c r="Y79" s="25"/>
      <c r="Z79" s="25"/>
      <c r="AA79" s="25"/>
    </row>
    <row r="80" spans="3:27" s="3" customFormat="1" ht="12.75">
      <c r="C80" s="7"/>
      <c r="D80" s="7"/>
      <c r="I80" s="251"/>
      <c r="K80" s="21"/>
      <c r="M80" s="64"/>
      <c r="N80" s="251"/>
      <c r="P80" s="60"/>
      <c r="Q80" s="60"/>
      <c r="R80" s="60"/>
      <c r="S80" s="60"/>
      <c r="T80" s="60"/>
      <c r="U80" s="60"/>
      <c r="V80" s="22"/>
      <c r="W80" s="22"/>
      <c r="X80" s="22"/>
      <c r="Y80" s="22"/>
      <c r="Z80" s="22"/>
      <c r="AA80" s="22"/>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V93"/>
  <sheetViews>
    <sheetView zoomScalePageLayoutView="0" workbookViewId="0" topLeftCell="A1">
      <selection activeCell="C4" sqref="C4"/>
    </sheetView>
  </sheetViews>
  <sheetFormatPr defaultColWidth="9.140625" defaultRowHeight="12.75"/>
  <cols>
    <col min="1" max="1" width="46.8515625" style="346" customWidth="1"/>
    <col min="2" max="2" width="10.8515625" style="346" customWidth="1"/>
    <col min="3" max="3" width="12.421875" style="346" customWidth="1"/>
    <col min="4" max="4" width="12.8515625" style="346" customWidth="1"/>
    <col min="5" max="5" width="11.7109375" style="346" customWidth="1"/>
    <col min="6" max="8" width="12.421875" style="346" customWidth="1"/>
    <col min="9" max="9" width="16.140625" style="346" customWidth="1"/>
    <col min="10" max="10" width="102.140625" style="346" customWidth="1"/>
    <col min="11" max="16384" width="9.140625" style="346" customWidth="1"/>
  </cols>
  <sheetData>
    <row r="1" ht="12.75">
      <c r="A1" s="363" t="s">
        <v>879</v>
      </c>
    </row>
    <row r="2" ht="12.75">
      <c r="A2" s="363"/>
    </row>
    <row r="3" ht="12.75">
      <c r="A3" s="363" t="s">
        <v>874</v>
      </c>
    </row>
    <row r="4" ht="12.75">
      <c r="A4" s="363" t="s">
        <v>1025</v>
      </c>
    </row>
    <row r="5" ht="12.75">
      <c r="A5" s="363" t="s">
        <v>985</v>
      </c>
    </row>
    <row r="6" ht="12.75">
      <c r="A6" s="585" t="s">
        <v>877</v>
      </c>
    </row>
    <row r="7" ht="12.75">
      <c r="A7" s="585" t="s">
        <v>878</v>
      </c>
    </row>
    <row r="8" ht="13.5" thickBot="1">
      <c r="A8" s="585"/>
    </row>
    <row r="9" spans="1:14" s="368" customFormat="1" ht="12.75">
      <c r="A9" s="591" t="s">
        <v>323</v>
      </c>
      <c r="B9" s="592"/>
      <c r="C9" s="593" t="s">
        <v>873</v>
      </c>
      <c r="D9" s="700" t="s">
        <v>871</v>
      </c>
      <c r="E9" s="701"/>
      <c r="F9" s="701"/>
      <c r="G9" s="701"/>
      <c r="H9" s="701"/>
      <c r="I9" s="702"/>
      <c r="J9" s="594"/>
      <c r="K9" s="703"/>
      <c r="L9" s="703"/>
      <c r="M9" s="703"/>
      <c r="N9" s="703"/>
    </row>
    <row r="10" spans="1:10" ht="51.75" thickBot="1">
      <c r="A10" s="595"/>
      <c r="B10" s="602" t="s">
        <v>875</v>
      </c>
      <c r="C10" s="596" t="s">
        <v>872</v>
      </c>
      <c r="D10" s="597" t="s">
        <v>38</v>
      </c>
      <c r="E10" s="597" t="s">
        <v>39</v>
      </c>
      <c r="F10" s="597" t="s">
        <v>40</v>
      </c>
      <c r="G10" s="596" t="s">
        <v>521</v>
      </c>
      <c r="H10" s="596" t="s">
        <v>42</v>
      </c>
      <c r="I10" s="596" t="s">
        <v>380</v>
      </c>
      <c r="J10" s="603" t="s">
        <v>876</v>
      </c>
    </row>
    <row r="11" spans="1:10" ht="12.75">
      <c r="A11" s="586" t="str">
        <f>'Step2-Energy'!A4</f>
        <v>Energy consumption</v>
      </c>
      <c r="B11" s="587"/>
      <c r="C11" s="606"/>
      <c r="D11" s="607"/>
      <c r="E11" s="607"/>
      <c r="F11" s="607"/>
      <c r="G11" s="608"/>
      <c r="H11" s="608"/>
      <c r="I11" s="608"/>
      <c r="J11" s="609"/>
    </row>
    <row r="12" spans="1:11" ht="12.75">
      <c r="A12" s="588" t="str">
        <f>'Step2-Energy'!A5</f>
        <v>Coal combustion in large power plants</v>
      </c>
      <c r="B12" s="266" t="str">
        <f>'Step2-Energy'!L5</f>
        <v>5.1.1</v>
      </c>
      <c r="C12" s="610"/>
      <c r="D12" s="610"/>
      <c r="E12" s="610"/>
      <c r="F12" s="610"/>
      <c r="G12" s="610"/>
      <c r="H12" s="610"/>
      <c r="I12" s="610"/>
      <c r="J12" s="611"/>
      <c r="K12" s="507"/>
    </row>
    <row r="13" spans="1:11" ht="12.75">
      <c r="A13" s="588" t="str">
        <f>'Step2-Energy'!A6</f>
        <v>Other coal uses</v>
      </c>
      <c r="B13" s="266" t="str">
        <f>'Step2-Energy'!L6</f>
        <v>5.1.2</v>
      </c>
      <c r="C13" s="610"/>
      <c r="D13" s="610"/>
      <c r="E13" s="610"/>
      <c r="F13" s="610"/>
      <c r="G13" s="610"/>
      <c r="H13" s="610"/>
      <c r="I13" s="610"/>
      <c r="J13" s="611"/>
      <c r="K13" s="507"/>
    </row>
    <row r="14" spans="1:11" ht="12.75">
      <c r="A14" s="588" t="str">
        <f>'Step2-Energy'!A7</f>
        <v>Combustion/use of petroleum coke and heavy oil</v>
      </c>
      <c r="B14" s="266" t="str">
        <f>'Step2-Energy'!L7</f>
        <v>5.1.3</v>
      </c>
      <c r="C14" s="610"/>
      <c r="D14" s="610"/>
      <c r="E14" s="610"/>
      <c r="F14" s="610"/>
      <c r="G14" s="610"/>
      <c r="H14" s="610"/>
      <c r="I14" s="610"/>
      <c r="J14" s="611"/>
      <c r="K14" s="507"/>
    </row>
    <row r="15" spans="1:11" ht="15.75" customHeight="1">
      <c r="A15" s="588" t="str">
        <f>'Step2-Energy'!A8</f>
        <v>Combustion/use of diesel, gasoil, petroleum, kerosene</v>
      </c>
      <c r="B15" s="266" t="str">
        <f>'Step2-Energy'!L8</f>
        <v>5.1.3</v>
      </c>
      <c r="C15" s="610"/>
      <c r="D15" s="610"/>
      <c r="E15" s="610"/>
      <c r="F15" s="610"/>
      <c r="G15" s="610"/>
      <c r="H15" s="610"/>
      <c r="I15" s="610"/>
      <c r="J15" s="611"/>
      <c r="K15" s="507"/>
    </row>
    <row r="16" spans="1:11" ht="15.75" customHeight="1">
      <c r="A16" s="588" t="str">
        <f>'Step2-Energy'!A9</f>
        <v>Use of raw or pre-cleaned natural gas</v>
      </c>
      <c r="B16" s="266" t="str">
        <f>'Step2-Energy'!L9</f>
        <v>5.1.4</v>
      </c>
      <c r="C16" s="610"/>
      <c r="D16" s="610"/>
      <c r="E16" s="610"/>
      <c r="F16" s="610"/>
      <c r="G16" s="610"/>
      <c r="H16" s="610"/>
      <c r="I16" s="610"/>
      <c r="J16" s="611"/>
      <c r="K16" s="507"/>
    </row>
    <row r="17" spans="1:11" ht="15.75" customHeight="1">
      <c r="A17" s="588" t="str">
        <f>'Step2-Energy'!A10</f>
        <v>Use of pipeline gas (consumer quality)</v>
      </c>
      <c r="B17" s="266" t="str">
        <f>'Step2-Energy'!L10</f>
        <v>5.1.4</v>
      </c>
      <c r="C17" s="610"/>
      <c r="D17" s="610"/>
      <c r="E17" s="610"/>
      <c r="F17" s="610"/>
      <c r="G17" s="610"/>
      <c r="H17" s="610"/>
      <c r="I17" s="610"/>
      <c r="J17" s="611"/>
      <c r="K17" s="507"/>
    </row>
    <row r="18" spans="1:11" ht="12.75">
      <c r="A18" s="588" t="str">
        <f>'Step2-Energy'!A11</f>
        <v>Biomass fired power and heat production</v>
      </c>
      <c r="B18" s="266" t="str">
        <f>'Step2-Energy'!L11</f>
        <v>5.1.6</v>
      </c>
      <c r="C18" s="610"/>
      <c r="D18" s="610"/>
      <c r="E18" s="610"/>
      <c r="F18" s="610"/>
      <c r="G18" s="610"/>
      <c r="H18" s="610"/>
      <c r="I18" s="610"/>
      <c r="J18" s="611"/>
      <c r="K18" s="507"/>
    </row>
    <row r="19" spans="1:11" ht="13.5" thickBot="1">
      <c r="A19" s="589" t="str">
        <f>'Step2-Energy'!A12</f>
        <v>Charcoal combustion</v>
      </c>
      <c r="B19" s="590" t="str">
        <f>'Step2-Energy'!L12</f>
        <v>5.1.6</v>
      </c>
      <c r="C19" s="610"/>
      <c r="D19" s="610"/>
      <c r="E19" s="610"/>
      <c r="F19" s="610"/>
      <c r="G19" s="610"/>
      <c r="H19" s="610"/>
      <c r="I19" s="610"/>
      <c r="J19" s="612"/>
      <c r="K19" s="507"/>
    </row>
    <row r="20" spans="1:11" ht="12.75">
      <c r="A20" s="586" t="str">
        <f>'Step2-Energy'!A14</f>
        <v>Fuel production</v>
      </c>
      <c r="B20" s="587"/>
      <c r="C20" s="613"/>
      <c r="D20" s="614"/>
      <c r="E20" s="614"/>
      <c r="F20" s="617"/>
      <c r="G20" s="614"/>
      <c r="H20" s="614"/>
      <c r="I20" s="614"/>
      <c r="J20" s="609"/>
      <c r="K20" s="507"/>
    </row>
    <row r="21" spans="1:11" ht="12.75">
      <c r="A21" s="588" t="str">
        <f>'Step2-Energy'!A15</f>
        <v>Oil extraction</v>
      </c>
      <c r="B21" s="266" t="str">
        <f>'Step2-Energy'!L15</f>
        <v>5.1.3</v>
      </c>
      <c r="C21" s="610"/>
      <c r="D21" s="610"/>
      <c r="E21" s="610"/>
      <c r="F21" s="610"/>
      <c r="G21" s="610"/>
      <c r="H21" s="610"/>
      <c r="I21" s="610"/>
      <c r="J21" s="611"/>
      <c r="K21" s="507"/>
    </row>
    <row r="22" spans="1:11" ht="12.75">
      <c r="A22" s="588" t="str">
        <f>'Step2-Energy'!A16</f>
        <v>Oil refining</v>
      </c>
      <c r="B22" s="266" t="str">
        <f>'Step2-Energy'!L16</f>
        <v>5.1.3</v>
      </c>
      <c r="C22" s="610"/>
      <c r="D22" s="610"/>
      <c r="E22" s="610"/>
      <c r="F22" s="610"/>
      <c r="G22" s="610"/>
      <c r="H22" s="610"/>
      <c r="I22" s="610"/>
      <c r="J22" s="611"/>
      <c r="K22" s="507"/>
    </row>
    <row r="23" spans="1:11" ht="13.5" thickBot="1">
      <c r="A23" s="589" t="str">
        <f>'Step2-Energy'!A17</f>
        <v>Extraction and processing of natural gas</v>
      </c>
      <c r="B23" s="590" t="str">
        <f>'Step2-Energy'!L17</f>
        <v>5.1.4</v>
      </c>
      <c r="C23" s="610"/>
      <c r="D23" s="610"/>
      <c r="E23" s="610"/>
      <c r="F23" s="610"/>
      <c r="G23" s="610"/>
      <c r="H23" s="610"/>
      <c r="I23" s="610"/>
      <c r="J23" s="612"/>
      <c r="K23" s="507"/>
    </row>
    <row r="24" spans="1:11" ht="12.75">
      <c r="A24" s="586" t="str">
        <f>'Step3-Metals-RawMat'!A5</f>
        <v>Primary metal production</v>
      </c>
      <c r="B24" s="587"/>
      <c r="C24" s="618"/>
      <c r="D24" s="614"/>
      <c r="E24" s="614"/>
      <c r="F24" s="614"/>
      <c r="G24" s="614"/>
      <c r="H24" s="614"/>
      <c r="I24" s="614"/>
      <c r="J24" s="609"/>
      <c r="K24" s="507"/>
    </row>
    <row r="25" spans="1:11" ht="12.75">
      <c r="A25" s="588" t="str">
        <f>'Step3-Metals-RawMat'!A6</f>
        <v>Mercury (primary) extraction and initial processing</v>
      </c>
      <c r="B25" s="266" t="str">
        <f>'Step3-Metals-RawMat'!L6</f>
        <v>5.2.1</v>
      </c>
      <c r="C25" s="610"/>
      <c r="D25" s="610"/>
      <c r="E25" s="610"/>
      <c r="F25" s="610"/>
      <c r="G25" s="610"/>
      <c r="H25" s="610"/>
      <c r="I25" s="610"/>
      <c r="J25" s="611"/>
      <c r="K25" s="507"/>
    </row>
    <row r="26" spans="1:11" ht="12.75">
      <c r="A26" s="588" t="str">
        <f>'Step3-Metals-RawMat'!A7</f>
        <v>Production of zinc from concentrates</v>
      </c>
      <c r="B26" s="266" t="str">
        <f>'Step3-Metals-RawMat'!L7</f>
        <v>5.2.3</v>
      </c>
      <c r="C26" s="610"/>
      <c r="D26" s="610"/>
      <c r="E26" s="610"/>
      <c r="F26" s="610"/>
      <c r="G26" s="610"/>
      <c r="H26" s="610"/>
      <c r="I26" s="610"/>
      <c r="J26" s="611"/>
      <c r="K26" s="507"/>
    </row>
    <row r="27" spans="1:11" ht="12.75">
      <c r="A27" s="588" t="str">
        <f>'Step3-Metals-RawMat'!A8</f>
        <v>Production of copper from concentrates</v>
      </c>
      <c r="B27" s="266" t="str">
        <f>'Step3-Metals-RawMat'!L8</f>
        <v>5.2.4</v>
      </c>
      <c r="C27" s="610"/>
      <c r="D27" s="610"/>
      <c r="E27" s="610"/>
      <c r="F27" s="610"/>
      <c r="G27" s="610"/>
      <c r="H27" s="610"/>
      <c r="I27" s="610"/>
      <c r="J27" s="611"/>
      <c r="K27" s="507"/>
    </row>
    <row r="28" spans="1:11" ht="12.75">
      <c r="A28" s="588" t="str">
        <f>'Step3-Metals-RawMat'!A9</f>
        <v>Production of lead from concentrates</v>
      </c>
      <c r="B28" s="266" t="str">
        <f>'Step3-Metals-RawMat'!L9</f>
        <v>5.2.5</v>
      </c>
      <c r="C28" s="610"/>
      <c r="D28" s="610"/>
      <c r="E28" s="610"/>
      <c r="F28" s="610"/>
      <c r="G28" s="610"/>
      <c r="H28" s="610"/>
      <c r="I28" s="610"/>
      <c r="J28" s="611"/>
      <c r="K28" s="507"/>
    </row>
    <row r="29" spans="1:11" ht="25.5">
      <c r="A29" s="588" t="str">
        <f>'Step3-Metals-RawMat'!A10</f>
        <v>Gold extraction by methods other than mercury amalgamation</v>
      </c>
      <c r="B29" s="266" t="str">
        <f>'Step3-Metals-RawMat'!L10</f>
        <v>5.2.6</v>
      </c>
      <c r="C29" s="610"/>
      <c r="D29" s="610"/>
      <c r="E29" s="610"/>
      <c r="F29" s="610"/>
      <c r="G29" s="610"/>
      <c r="H29" s="610"/>
      <c r="I29" s="610"/>
      <c r="J29" s="611"/>
      <c r="K29" s="507"/>
    </row>
    <row r="30" spans="1:11" ht="16.5" customHeight="1">
      <c r="A30" s="588" t="str">
        <f>'Step3-Metals-RawMat'!A11</f>
        <v>Alumina production from bauxite (aluminium production)</v>
      </c>
      <c r="B30" s="266" t="str">
        <f>'Step3-Metals-RawMat'!L11</f>
        <v>5.2.7</v>
      </c>
      <c r="C30" s="610"/>
      <c r="D30" s="610"/>
      <c r="E30" s="610"/>
      <c r="F30" s="610"/>
      <c r="G30" s="610"/>
      <c r="H30" s="610"/>
      <c r="I30" s="610"/>
      <c r="J30" s="611"/>
      <c r="K30" s="507"/>
    </row>
    <row r="31" spans="1:11" ht="21" customHeight="1">
      <c r="A31" s="588" t="str">
        <f>'Step3-Metals-RawMat'!A12</f>
        <v>Primary ferrous metal production (pig iron production)</v>
      </c>
      <c r="B31" s="266" t="str">
        <f>'Step3-Metals-RawMat'!L12</f>
        <v>5.2.9</v>
      </c>
      <c r="C31" s="610"/>
      <c r="D31" s="610"/>
      <c r="E31" s="610"/>
      <c r="F31" s="610"/>
      <c r="G31" s="610"/>
      <c r="H31" s="610"/>
      <c r="I31" s="610"/>
      <c r="J31" s="611"/>
      <c r="K31" s="507"/>
    </row>
    <row r="32" spans="1:11" ht="25.5">
      <c r="A32" s="588" t="str">
        <f>'Step3-Metals-RawMat'!A13</f>
        <v>Gold extraction with mercury amalgamation - without use of retort</v>
      </c>
      <c r="B32" s="266" t="str">
        <f>'Step3-Metals-RawMat'!L13</f>
        <v>5.2.2</v>
      </c>
      <c r="C32" s="610"/>
      <c r="D32" s="610"/>
      <c r="E32" s="610"/>
      <c r="F32" s="610"/>
      <c r="G32" s="610"/>
      <c r="H32" s="610"/>
      <c r="I32" s="610"/>
      <c r="J32" s="611"/>
      <c r="K32" s="507"/>
    </row>
    <row r="33" spans="1:11" ht="26.25" thickBot="1">
      <c r="A33" s="589" t="str">
        <f>'Step3-Metals-RawMat'!A14</f>
        <v>Gold extraction with mercury amalgamation - with use of retorts</v>
      </c>
      <c r="B33" s="590" t="str">
        <f>'Step3-Metals-RawMat'!L14</f>
        <v>5.2.2</v>
      </c>
      <c r="C33" s="610"/>
      <c r="D33" s="610"/>
      <c r="E33" s="610"/>
      <c r="F33" s="610"/>
      <c r="G33" s="610"/>
      <c r="H33" s="610"/>
      <c r="I33" s="610"/>
      <c r="J33" s="612"/>
      <c r="K33" s="507"/>
    </row>
    <row r="34" spans="1:11" ht="17.25" customHeight="1">
      <c r="A34" s="586" t="str">
        <f>'Step3-Metals-RawMat'!A15</f>
        <v>Other materials production</v>
      </c>
      <c r="B34" s="587"/>
      <c r="C34" s="613"/>
      <c r="D34" s="614"/>
      <c r="E34" s="617"/>
      <c r="F34" s="614"/>
      <c r="G34" s="614"/>
      <c r="H34" s="614"/>
      <c r="I34" s="614"/>
      <c r="J34" s="609"/>
      <c r="K34" s="507"/>
    </row>
    <row r="35" spans="1:11" ht="12.75">
      <c r="A35" s="588" t="str">
        <f>'Step3-Metals-RawMat'!A16</f>
        <v>Cement production</v>
      </c>
      <c r="B35" s="266" t="str">
        <f>'Step3-Metals-RawMat'!L16</f>
        <v>5.3.1</v>
      </c>
      <c r="C35" s="610"/>
      <c r="D35" s="610"/>
      <c r="E35" s="610"/>
      <c r="F35" s="610"/>
      <c r="G35" s="610"/>
      <c r="H35" s="610"/>
      <c r="I35" s="610"/>
      <c r="J35" s="611"/>
      <c r="K35" s="507"/>
    </row>
    <row r="36" spans="1:11" ht="13.5" thickBot="1">
      <c r="A36" s="589" t="str">
        <f>'Step3-Metals-RawMat'!A17</f>
        <v>Pulp and paper production</v>
      </c>
      <c r="B36" s="590" t="str">
        <f>'Step3-Metals-RawMat'!L17</f>
        <v>5.3.2</v>
      </c>
      <c r="C36" s="610"/>
      <c r="D36" s="610"/>
      <c r="E36" s="610"/>
      <c r="F36" s="610"/>
      <c r="G36" s="610"/>
      <c r="H36" s="610"/>
      <c r="I36" s="610"/>
      <c r="J36" s="612"/>
      <c r="K36" s="507"/>
    </row>
    <row r="37" spans="1:11" ht="12.75">
      <c r="A37" s="586" t="str">
        <f>'Step4-Industrial Hg use'!A4</f>
        <v>Production of chemicals</v>
      </c>
      <c r="B37" s="598"/>
      <c r="C37" s="615"/>
      <c r="D37" s="619"/>
      <c r="E37" s="616"/>
      <c r="F37" s="616"/>
      <c r="G37" s="616"/>
      <c r="H37" s="616"/>
      <c r="I37" s="616"/>
      <c r="J37" s="609"/>
      <c r="K37" s="507"/>
    </row>
    <row r="38" spans="1:11" ht="12.75">
      <c r="A38" s="588" t="str">
        <f>'Step4-Industrial Hg use'!A5</f>
        <v>Chlor-alkali production with mercury-cells</v>
      </c>
      <c r="B38" s="276" t="str">
        <f>'Step4-Industrial Hg use'!L5</f>
        <v>5.4.1</v>
      </c>
      <c r="C38" s="610"/>
      <c r="D38" s="610"/>
      <c r="E38" s="610"/>
      <c r="F38" s="610"/>
      <c r="G38" s="610"/>
      <c r="H38" s="610"/>
      <c r="I38" s="610"/>
      <c r="J38" s="611"/>
      <c r="K38" s="507"/>
    </row>
    <row r="39" spans="1:11" ht="12.75">
      <c r="A39" s="588" t="str">
        <f>'Step4-Industrial Hg use'!A6</f>
        <v>VCM production with mercury catalyst</v>
      </c>
      <c r="B39" s="276" t="str">
        <f>'Step4-Industrial Hg use'!L6</f>
        <v>5.4.2</v>
      </c>
      <c r="C39" s="610"/>
      <c r="D39" s="610"/>
      <c r="E39" s="610"/>
      <c r="F39" s="610"/>
      <c r="G39" s="610"/>
      <c r="H39" s="610"/>
      <c r="I39" s="610"/>
      <c r="J39" s="611"/>
      <c r="K39" s="507"/>
    </row>
    <row r="40" spans="1:11" ht="13.5" thickBot="1">
      <c r="A40" s="589" t="str">
        <f>'Step4-Industrial Hg use'!A7</f>
        <v>Acetaldehyde production with mercury catalyst</v>
      </c>
      <c r="B40" s="599" t="str">
        <f>'Step4-Industrial Hg use'!L7</f>
        <v>5.4.3</v>
      </c>
      <c r="C40" s="610"/>
      <c r="D40" s="610"/>
      <c r="E40" s="610"/>
      <c r="F40" s="610"/>
      <c r="G40" s="610"/>
      <c r="H40" s="610"/>
      <c r="I40" s="610"/>
      <c r="J40" s="612"/>
      <c r="K40" s="507"/>
    </row>
    <row r="41" spans="1:11" ht="12.75">
      <c r="A41" s="586" t="str">
        <f>'Step4-Industrial Hg use'!A9</f>
        <v>Production of products with mercury content</v>
      </c>
      <c r="B41" s="598"/>
      <c r="C41" s="615"/>
      <c r="D41" s="619"/>
      <c r="E41" s="619"/>
      <c r="F41" s="616"/>
      <c r="G41" s="616"/>
      <c r="H41" s="616"/>
      <c r="I41" s="616"/>
      <c r="J41" s="609"/>
      <c r="K41" s="507"/>
    </row>
    <row r="42" spans="1:11" ht="12.75">
      <c r="A42" s="588" t="str">
        <f>'Step4-Industrial Hg use'!A10</f>
        <v>Hg thermometers (medical, air, lab, industrial etc.) </v>
      </c>
      <c r="B42" s="284" t="str">
        <f>'Step4-Industrial Hg use'!L10</f>
        <v>5.5.1</v>
      </c>
      <c r="C42" s="610"/>
      <c r="D42" s="610"/>
      <c r="E42" s="610"/>
      <c r="F42" s="610"/>
      <c r="G42" s="610"/>
      <c r="H42" s="610"/>
      <c r="I42" s="610"/>
      <c r="J42" s="611"/>
      <c r="K42" s="507"/>
    </row>
    <row r="43" spans="1:11" ht="12.75">
      <c r="A43" s="588" t="str">
        <f>'Step4-Industrial Hg use'!A11</f>
        <v>Electrical switches and relays with mercury </v>
      </c>
      <c r="B43" s="284" t="str">
        <f>'Step4-Industrial Hg use'!L11</f>
        <v>5.5.2</v>
      </c>
      <c r="C43" s="610"/>
      <c r="D43" s="610"/>
      <c r="E43" s="610"/>
      <c r="F43" s="610"/>
      <c r="G43" s="610"/>
      <c r="H43" s="610"/>
      <c r="I43" s="610"/>
      <c r="J43" s="611"/>
      <c r="K43" s="507"/>
    </row>
    <row r="44" spans="1:11" ht="25.5">
      <c r="A44" s="588" t="str">
        <f>'Step4-Industrial Hg use'!A12</f>
        <v>Light sources with mercury (fluorescent, compact, others: see guideline) </v>
      </c>
      <c r="B44" s="284" t="str">
        <f>'Step4-Industrial Hg use'!L12</f>
        <v>5.5.3</v>
      </c>
      <c r="C44" s="610"/>
      <c r="D44" s="610"/>
      <c r="E44" s="610"/>
      <c r="F44" s="610"/>
      <c r="G44" s="610"/>
      <c r="H44" s="610"/>
      <c r="I44" s="610"/>
      <c r="J44" s="611"/>
      <c r="K44" s="507"/>
    </row>
    <row r="45" spans="1:11" ht="12.75">
      <c r="A45" s="588" t="str">
        <f>'Step4-Industrial Hg use'!A13</f>
        <v>Batteries with mercury </v>
      </c>
      <c r="B45" s="284" t="str">
        <f>'Step4-Industrial Hg use'!L13</f>
        <v>5.5.4</v>
      </c>
      <c r="C45" s="610"/>
      <c r="D45" s="610"/>
      <c r="E45" s="610"/>
      <c r="F45" s="610"/>
      <c r="G45" s="610"/>
      <c r="H45" s="610"/>
      <c r="I45" s="610"/>
      <c r="J45" s="611"/>
      <c r="K45" s="507"/>
    </row>
    <row r="46" spans="1:11" ht="12.75">
      <c r="A46" s="588" t="str">
        <f>'Step4-Industrial Hg use'!A14</f>
        <v>Manometers and gauges with mercury </v>
      </c>
      <c r="B46" s="276" t="str">
        <f>'Step4-Industrial Hg use'!L14</f>
        <v>5.6.2</v>
      </c>
      <c r="C46" s="610"/>
      <c r="D46" s="610"/>
      <c r="E46" s="610"/>
      <c r="F46" s="610"/>
      <c r="G46" s="610"/>
      <c r="H46" s="610"/>
      <c r="I46" s="610"/>
      <c r="J46" s="611"/>
      <c r="K46" s="507"/>
    </row>
    <row r="47" spans="1:11" ht="12.75">
      <c r="A47" s="588" t="str">
        <f>'Step4-Industrial Hg use'!A15</f>
        <v>Biocides and pesticides with mercury </v>
      </c>
      <c r="B47" s="276" t="str">
        <f>'Step4-Industrial Hg use'!L15</f>
        <v>5.5.5</v>
      </c>
      <c r="C47" s="610"/>
      <c r="D47" s="610"/>
      <c r="E47" s="610"/>
      <c r="F47" s="610"/>
      <c r="G47" s="610"/>
      <c r="H47" s="610"/>
      <c r="I47" s="610"/>
      <c r="J47" s="611"/>
      <c r="K47" s="507"/>
    </row>
    <row r="48" spans="1:11" ht="12.75">
      <c r="A48" s="588" t="str">
        <f>'Step4-Industrial Hg use'!A16</f>
        <v>Paints with mercury </v>
      </c>
      <c r="B48" s="276" t="str">
        <f>'Step4-Industrial Hg use'!L16</f>
        <v>5.5.6</v>
      </c>
      <c r="C48" s="610"/>
      <c r="D48" s="610"/>
      <c r="E48" s="610"/>
      <c r="F48" s="610"/>
      <c r="G48" s="610"/>
      <c r="H48" s="610"/>
      <c r="I48" s="610"/>
      <c r="J48" s="611"/>
      <c r="K48" s="507"/>
    </row>
    <row r="49" spans="1:11" ht="26.25" thickBot="1">
      <c r="A49" s="589" t="str">
        <f>'Step4-Industrial Hg use'!A17</f>
        <v>Skin lightening creams and soaps with mercury chemicals </v>
      </c>
      <c r="B49" s="599" t="str">
        <f>'Step4-Industrial Hg use'!L17</f>
        <v>5.5.7</v>
      </c>
      <c r="C49" s="610"/>
      <c r="D49" s="610"/>
      <c r="E49" s="610"/>
      <c r="F49" s="610"/>
      <c r="G49" s="610"/>
      <c r="H49" s="610"/>
      <c r="I49" s="610"/>
      <c r="J49" s="612"/>
      <c r="K49" s="507"/>
    </row>
    <row r="50" spans="1:11" ht="16.5" customHeight="1">
      <c r="A50" s="586" t="str">
        <f>'Step6-Hg products-substances'!A6</f>
        <v>Use and disposal of products with mercury content</v>
      </c>
      <c r="B50" s="598"/>
      <c r="C50" s="615"/>
      <c r="D50" s="616"/>
      <c r="E50" s="616"/>
      <c r="F50" s="619"/>
      <c r="G50" s="616"/>
      <c r="H50" s="616"/>
      <c r="I50" s="616"/>
      <c r="J50" s="609"/>
      <c r="K50" s="507"/>
    </row>
    <row r="51" spans="1:11" ht="12.75">
      <c r="A51" s="588" t="str">
        <f>'Step6-Hg products-substances'!A7</f>
        <v>Dental amalgam fillings ("silver" fillings)</v>
      </c>
      <c r="B51" s="276" t="str">
        <f>'Step6-Hg products-substances'!L7</f>
        <v>5.6.1</v>
      </c>
      <c r="C51" s="610"/>
      <c r="D51" s="610"/>
      <c r="E51" s="610"/>
      <c r="F51" s="610"/>
      <c r="G51" s="610"/>
      <c r="H51" s="610"/>
      <c r="I51" s="610"/>
      <c r="J51" s="611"/>
      <c r="K51" s="507"/>
    </row>
    <row r="52" spans="1:11" ht="12.75">
      <c r="A52" s="588" t="str">
        <f>'Step6-Hg products-substances'!A13</f>
        <v>Thermometers</v>
      </c>
      <c r="B52" s="276" t="str">
        <f>'Step6-Hg products-substances'!L13</f>
        <v>5.5.1</v>
      </c>
      <c r="C52" s="610"/>
      <c r="D52" s="610"/>
      <c r="E52" s="610"/>
      <c r="F52" s="610"/>
      <c r="G52" s="610"/>
      <c r="H52" s="610"/>
      <c r="I52" s="610"/>
      <c r="J52" s="611"/>
      <c r="K52" s="507"/>
    </row>
    <row r="53" spans="1:11" ht="12.75">
      <c r="A53" s="588" t="str">
        <f>'Step6-Hg products-substances'!A18</f>
        <v>Electrical switches and relays with mercury</v>
      </c>
      <c r="B53" s="276" t="str">
        <f>'Step6-Hg products-substances'!L18</f>
        <v>5.5.2</v>
      </c>
      <c r="C53" s="610"/>
      <c r="D53" s="610"/>
      <c r="E53" s="610"/>
      <c r="F53" s="610"/>
      <c r="G53" s="610"/>
      <c r="H53" s="610"/>
      <c r="I53" s="610"/>
      <c r="J53" s="611"/>
      <c r="K53" s="507"/>
    </row>
    <row r="54" spans="1:11" ht="12.75">
      <c r="A54" s="588" t="str">
        <f>'Step6-Hg products-substances'!A21</f>
        <v>Light sources with mercury</v>
      </c>
      <c r="B54" s="276" t="str">
        <f>'Step6-Hg products-substances'!L21</f>
        <v>5.5.3</v>
      </c>
      <c r="C54" s="610"/>
      <c r="D54" s="610"/>
      <c r="E54" s="610"/>
      <c r="F54" s="610"/>
      <c r="G54" s="610"/>
      <c r="H54" s="610"/>
      <c r="I54" s="610"/>
      <c r="J54" s="611"/>
      <c r="K54" s="507"/>
    </row>
    <row r="55" spans="1:11" ht="12.75">
      <c r="A55" s="600" t="str">
        <f>'Step6-Hg products-substances'!A26</f>
        <v>Batteries with mercury</v>
      </c>
      <c r="B55" s="276" t="str">
        <f>'Step6-Hg products-substances'!L26</f>
        <v>5.5.4</v>
      </c>
      <c r="C55" s="610"/>
      <c r="D55" s="610"/>
      <c r="E55" s="610"/>
      <c r="F55" s="610"/>
      <c r="G55" s="610"/>
      <c r="H55" s="610"/>
      <c r="I55" s="610"/>
      <c r="J55" s="611"/>
      <c r="K55" s="507"/>
    </row>
    <row r="56" spans="1:11" ht="25.5">
      <c r="A56" s="588" t="str">
        <f>'Step6-Hg products-substances'!A31</f>
        <v>Polyurethane (PU, PUR) produced with mercury catalyst</v>
      </c>
      <c r="B56" s="276" t="str">
        <f>'Step6-Hg products-substances'!L31</f>
        <v>5.5.5.</v>
      </c>
      <c r="C56" s="610"/>
      <c r="D56" s="610"/>
      <c r="E56" s="610"/>
      <c r="F56" s="610"/>
      <c r="G56" s="610"/>
      <c r="H56" s="610"/>
      <c r="I56" s="610"/>
      <c r="J56" s="611"/>
      <c r="K56" s="507"/>
    </row>
    <row r="57" spans="1:11" ht="12.75">
      <c r="A57" s="588" t="str">
        <f>'Step6-Hg products-substances'!A34</f>
        <v>Paints with mercury preservatives</v>
      </c>
      <c r="B57" s="276" t="str">
        <f>'Step6-Hg products-substances'!L34</f>
        <v>5.5.7</v>
      </c>
      <c r="C57" s="610"/>
      <c r="D57" s="610"/>
      <c r="E57" s="610"/>
      <c r="F57" s="610"/>
      <c r="G57" s="610"/>
      <c r="H57" s="610"/>
      <c r="I57" s="610"/>
      <c r="J57" s="611"/>
      <c r="K57" s="507"/>
    </row>
    <row r="58" spans="1:11" ht="25.5">
      <c r="A58" s="588" t="str">
        <f>'Step6-Hg products-substances'!A36</f>
        <v>Skin lightening creams and soaps with mercury chemicals</v>
      </c>
      <c r="B58" s="276" t="str">
        <f>'Step6-Hg products-substances'!L36</f>
        <v>5.5.8</v>
      </c>
      <c r="C58" s="610"/>
      <c r="D58" s="610"/>
      <c r="E58" s="610"/>
      <c r="F58" s="610"/>
      <c r="G58" s="610"/>
      <c r="H58" s="610"/>
      <c r="I58" s="610"/>
      <c r="J58" s="611"/>
      <c r="K58" s="507"/>
    </row>
    <row r="59" spans="1:11" ht="29.25" customHeight="1">
      <c r="A59" s="588" t="str">
        <f>'Step6-Hg products-substances'!A38</f>
        <v>Medical blood pressure gauges (mercury sphygmomanometers)</v>
      </c>
      <c r="B59" s="276" t="str">
        <f>'Step6-Hg products-substances'!L38</f>
        <v>5.6.2</v>
      </c>
      <c r="C59" s="610"/>
      <c r="D59" s="610"/>
      <c r="E59" s="610"/>
      <c r="F59" s="610"/>
      <c r="G59" s="610"/>
      <c r="H59" s="610"/>
      <c r="I59" s="610"/>
      <c r="J59" s="611"/>
      <c r="K59" s="507"/>
    </row>
    <row r="60" spans="1:11" ht="12.75">
      <c r="A60" s="588" t="str">
        <f>'Step6-Hg products-substances'!A40</f>
        <v>Other manometers and gauges with mercury</v>
      </c>
      <c r="B60" s="276" t="str">
        <f>'Step6-Hg products-substances'!L40</f>
        <v>5.6.2</v>
      </c>
      <c r="C60" s="610"/>
      <c r="D60" s="610"/>
      <c r="E60" s="610"/>
      <c r="F60" s="610"/>
      <c r="G60" s="610"/>
      <c r="H60" s="610"/>
      <c r="I60" s="610"/>
      <c r="J60" s="611"/>
      <c r="K60" s="507"/>
    </row>
    <row r="61" spans="1:11" ht="12.75">
      <c r="A61" s="588" t="str">
        <f>'Step6-Hg products-substances'!A43</f>
        <v>Laboratory chemicals</v>
      </c>
      <c r="B61" s="276" t="str">
        <f>'Step6-Hg products-substances'!L43</f>
        <v>5.6.3</v>
      </c>
      <c r="C61" s="610"/>
      <c r="D61" s="610"/>
      <c r="E61" s="610"/>
      <c r="F61" s="610"/>
      <c r="G61" s="610"/>
      <c r="H61" s="610"/>
      <c r="I61" s="610"/>
      <c r="J61" s="611"/>
      <c r="K61" s="507"/>
    </row>
    <row r="62" spans="1:11" ht="13.5" thickBot="1">
      <c r="A62" s="589" t="str">
        <f>'Step6-Hg products-substances'!A46</f>
        <v>Other laboratory and medical equipment with mercury </v>
      </c>
      <c r="B62" s="599" t="str">
        <f>'Step6-Hg products-substances'!L46</f>
        <v>5.6.3, 5.6.5</v>
      </c>
      <c r="C62" s="610"/>
      <c r="D62" s="610"/>
      <c r="E62" s="610"/>
      <c r="F62" s="610"/>
      <c r="G62" s="610"/>
      <c r="H62" s="610"/>
      <c r="I62" s="610"/>
      <c r="J62" s="612"/>
      <c r="K62" s="507"/>
    </row>
    <row r="63" spans="1:11" ht="12.75">
      <c r="A63" s="586" t="str">
        <f>'Step5-Waste treatment+recycling'!A8</f>
        <v>Production of recycled of metals</v>
      </c>
      <c r="B63" s="598"/>
      <c r="C63" s="615"/>
      <c r="D63" s="616"/>
      <c r="E63" s="616"/>
      <c r="F63" s="616"/>
      <c r="G63" s="619"/>
      <c r="H63" s="616"/>
      <c r="I63" s="616"/>
      <c r="J63" s="609"/>
      <c r="K63" s="507"/>
    </row>
    <row r="64" spans="1:11" ht="25.5">
      <c r="A64" s="588" t="str">
        <f>'Step5-Waste treatment+recycling'!A9</f>
        <v>Production of recycled mercury ("secondary production”)</v>
      </c>
      <c r="B64" s="276" t="str">
        <f>'Step5-Waste treatment+recycling'!L9</f>
        <v>5.7.1</v>
      </c>
      <c r="C64" s="610"/>
      <c r="D64" s="610"/>
      <c r="E64" s="610"/>
      <c r="F64" s="610"/>
      <c r="G64" s="610"/>
      <c r="H64" s="610"/>
      <c r="I64" s="610"/>
      <c r="J64" s="611"/>
      <c r="K64" s="507"/>
    </row>
    <row r="65" spans="1:11" ht="13.5" thickBot="1">
      <c r="A65" s="589" t="str">
        <f>'Step5-Waste treatment+recycling'!A10</f>
        <v>Production of recycled ferrous metals (iron and steel)</v>
      </c>
      <c r="B65" s="599" t="str">
        <f>'Step5-Waste treatment+recycling'!L10</f>
        <v>5.7.2</v>
      </c>
      <c r="C65" s="610"/>
      <c r="D65" s="610"/>
      <c r="E65" s="610"/>
      <c r="F65" s="610"/>
      <c r="G65" s="610"/>
      <c r="H65" s="610"/>
      <c r="I65" s="610"/>
      <c r="J65" s="612"/>
      <c r="K65" s="507"/>
    </row>
    <row r="66" spans="1:11" ht="12.75">
      <c r="A66" s="586" t="str">
        <f>'Step5-Waste treatment+recycling'!A12</f>
        <v>Waste incineration</v>
      </c>
      <c r="B66" s="598"/>
      <c r="C66" s="615"/>
      <c r="D66" s="616"/>
      <c r="E66" s="616"/>
      <c r="F66" s="616"/>
      <c r="G66" s="619"/>
      <c r="H66" s="619"/>
      <c r="I66" s="616"/>
      <c r="J66" s="609"/>
      <c r="K66" s="507"/>
    </row>
    <row r="67" spans="1:11" ht="12.75">
      <c r="A67" s="600" t="s">
        <v>586</v>
      </c>
      <c r="B67" s="276" t="str">
        <f>'Step5-Waste treatment+recycling'!L13</f>
        <v>5.8.1</v>
      </c>
      <c r="C67" s="610"/>
      <c r="D67" s="610"/>
      <c r="E67" s="610"/>
      <c r="F67" s="610"/>
      <c r="G67" s="610"/>
      <c r="H67" s="610"/>
      <c r="I67" s="610"/>
      <c r="J67" s="611"/>
      <c r="K67" s="507"/>
    </row>
    <row r="68" spans="1:11" ht="12.75">
      <c r="A68" s="600" t="s">
        <v>587</v>
      </c>
      <c r="B68" s="276" t="str">
        <f>'Step5-Waste treatment+recycling'!L14</f>
        <v>5.8.2</v>
      </c>
      <c r="C68" s="610"/>
      <c r="D68" s="610"/>
      <c r="E68" s="610"/>
      <c r="F68" s="610"/>
      <c r="G68" s="610"/>
      <c r="H68" s="610"/>
      <c r="I68" s="610"/>
      <c r="J68" s="611"/>
      <c r="K68" s="507"/>
    </row>
    <row r="69" spans="1:11" ht="12.75">
      <c r="A69" s="600" t="s">
        <v>588</v>
      </c>
      <c r="B69" s="276" t="str">
        <f>'Step5-Waste treatment+recycling'!L15</f>
        <v>5.8.3</v>
      </c>
      <c r="C69" s="610"/>
      <c r="D69" s="610"/>
      <c r="E69" s="610"/>
      <c r="F69" s="610"/>
      <c r="G69" s="610"/>
      <c r="H69" s="610"/>
      <c r="I69" s="610"/>
      <c r="J69" s="611"/>
      <c r="K69" s="507"/>
    </row>
    <row r="70" spans="1:11" ht="12.75">
      <c r="A70" s="600" t="s">
        <v>589</v>
      </c>
      <c r="B70" s="276" t="str">
        <f>'Step5-Waste treatment+recycling'!L16</f>
        <v>5.8.4</v>
      </c>
      <c r="C70" s="610"/>
      <c r="D70" s="610"/>
      <c r="E70" s="610"/>
      <c r="F70" s="610"/>
      <c r="G70" s="610"/>
      <c r="H70" s="610"/>
      <c r="I70" s="610"/>
      <c r="J70" s="611"/>
      <c r="K70" s="507"/>
    </row>
    <row r="71" spans="1:11" ht="13.5" thickBot="1">
      <c r="A71" s="601" t="s">
        <v>590</v>
      </c>
      <c r="B71" s="599" t="str">
        <f>'Step5-Waste treatment+recycling'!L17</f>
        <v>5.8.5</v>
      </c>
      <c r="C71" s="610"/>
      <c r="D71" s="610"/>
      <c r="E71" s="610"/>
      <c r="F71" s="610"/>
      <c r="G71" s="610"/>
      <c r="H71" s="610"/>
      <c r="I71" s="610"/>
      <c r="J71" s="612"/>
      <c r="K71" s="507"/>
    </row>
    <row r="72" spans="1:11" ht="25.5">
      <c r="A72" s="586" t="str">
        <f>'Step5-Waste treatment+recycling'!A19</f>
        <v>Waste deposition/landfilling and waste water treatment</v>
      </c>
      <c r="B72" s="598"/>
      <c r="C72" s="615"/>
      <c r="D72" s="616"/>
      <c r="E72" s="616"/>
      <c r="F72" s="616"/>
      <c r="G72" s="616"/>
      <c r="H72" s="616"/>
      <c r="I72" s="619"/>
      <c r="J72" s="609"/>
      <c r="K72" s="507"/>
    </row>
    <row r="73" spans="1:11" ht="12.75">
      <c r="A73" s="600" t="s">
        <v>560</v>
      </c>
      <c r="B73" s="276" t="str">
        <f>'Step5-Waste treatment+recycling'!L20</f>
        <v>5.9.1</v>
      </c>
      <c r="C73" s="610"/>
      <c r="D73" s="610"/>
      <c r="E73" s="610"/>
      <c r="F73" s="610"/>
      <c r="G73" s="610"/>
      <c r="H73" s="610"/>
      <c r="I73" s="610"/>
      <c r="J73" s="611"/>
      <c r="K73" s="507"/>
    </row>
    <row r="74" spans="1:11" ht="12.75">
      <c r="A74" s="600" t="s">
        <v>582</v>
      </c>
      <c r="B74" s="276" t="str">
        <f>'Step5-Waste treatment+recycling'!L21</f>
        <v>5.9.4</v>
      </c>
      <c r="C74" s="610"/>
      <c r="D74" s="610"/>
      <c r="E74" s="610"/>
      <c r="F74" s="610"/>
      <c r="G74" s="610"/>
      <c r="H74" s="610"/>
      <c r="I74" s="610"/>
      <c r="J74" s="611"/>
      <c r="K74" s="507"/>
    </row>
    <row r="75" spans="1:11" ht="13.5" thickBot="1">
      <c r="A75" s="601" t="s">
        <v>559</v>
      </c>
      <c r="B75" s="599" t="str">
        <f>'Step5-Waste treatment+recycling'!L23</f>
        <v>5.9.5</v>
      </c>
      <c r="C75" s="610"/>
      <c r="D75" s="610"/>
      <c r="E75" s="610"/>
      <c r="F75" s="610"/>
      <c r="G75" s="610"/>
      <c r="H75" s="610"/>
      <c r="I75" s="610"/>
      <c r="J75" s="612"/>
      <c r="K75" s="507"/>
    </row>
    <row r="76" spans="1:11" ht="12.75">
      <c r="A76" s="586" t="str">
        <f>'Step7-Crematoria-cemetaries'!A4</f>
        <v>Crematoria and cemeteries</v>
      </c>
      <c r="B76" s="598"/>
      <c r="C76" s="620"/>
      <c r="D76" s="616"/>
      <c r="E76" s="616"/>
      <c r="F76" s="616"/>
      <c r="G76" s="616"/>
      <c r="H76" s="616"/>
      <c r="I76" s="616"/>
      <c r="J76" s="609"/>
      <c r="K76" s="507"/>
    </row>
    <row r="77" spans="1:11" ht="12.75">
      <c r="A77" s="588" t="str">
        <f>'Step7-Crematoria-cemetaries'!A5</f>
        <v>Crematoria</v>
      </c>
      <c r="B77" s="276" t="str">
        <f>'Step7-Crematoria-cemetaries'!L5</f>
        <v>5.10.1</v>
      </c>
      <c r="C77" s="610"/>
      <c r="D77" s="610"/>
      <c r="E77" s="610"/>
      <c r="F77" s="610"/>
      <c r="G77" s="610"/>
      <c r="H77" s="610"/>
      <c r="I77" s="610"/>
      <c r="J77" s="611"/>
      <c r="K77" s="507"/>
    </row>
    <row r="78" spans="1:11" ht="13.5" thickBot="1">
      <c r="A78" s="589" t="str">
        <f>'Step7-Crematoria-cemetaries'!A6</f>
        <v>Cemeteries</v>
      </c>
      <c r="B78" s="599" t="str">
        <f>'Step7-Crematoria-cemetaries'!L6</f>
        <v>5.10.2</v>
      </c>
      <c r="C78" s="610"/>
      <c r="D78" s="610"/>
      <c r="E78" s="610"/>
      <c r="F78" s="610"/>
      <c r="G78" s="610"/>
      <c r="H78" s="610"/>
      <c r="I78" s="610"/>
      <c r="J78" s="612"/>
      <c r="K78" s="507"/>
    </row>
    <row r="79" spans="1:3" ht="12.75">
      <c r="A79" s="329"/>
      <c r="C79" s="3"/>
    </row>
    <row r="80" ht="12.75">
      <c r="A80" s="329"/>
    </row>
    <row r="81" spans="11:22" ht="12.75">
      <c r="K81" s="507"/>
      <c r="O81" s="502"/>
      <c r="P81" s="509"/>
      <c r="Q81" s="509"/>
      <c r="R81" s="509"/>
      <c r="S81" s="509"/>
      <c r="T81" s="509"/>
      <c r="U81" s="509"/>
      <c r="V81" s="509"/>
    </row>
    <row r="82" spans="15:22" ht="12.75">
      <c r="O82" s="502"/>
      <c r="P82" s="511"/>
      <c r="Q82" s="509"/>
      <c r="R82" s="509"/>
      <c r="S82" s="509"/>
      <c r="T82" s="509"/>
      <c r="U82" s="509"/>
      <c r="V82" s="509"/>
    </row>
    <row r="83" spans="15:22" ht="12.75">
      <c r="O83" s="502"/>
      <c r="P83" s="509"/>
      <c r="Q83" s="509"/>
      <c r="R83" s="509"/>
      <c r="S83" s="509"/>
      <c r="T83" s="509"/>
      <c r="U83" s="509"/>
      <c r="V83" s="509"/>
    </row>
    <row r="84" spans="1:22" ht="12.75">
      <c r="A84" s="329"/>
      <c r="O84" s="502"/>
      <c r="P84" s="510"/>
      <c r="Q84" s="509"/>
      <c r="R84" s="509"/>
      <c r="S84" s="509"/>
      <c r="T84" s="509"/>
      <c r="U84" s="509"/>
      <c r="V84" s="509"/>
    </row>
    <row r="85" spans="1:22" ht="12.75">
      <c r="A85" s="329"/>
      <c r="O85" s="502"/>
      <c r="P85" s="509"/>
      <c r="Q85" s="509"/>
      <c r="R85" s="509"/>
      <c r="S85" s="509"/>
      <c r="T85" s="509"/>
      <c r="U85" s="509"/>
      <c r="V85" s="509"/>
    </row>
    <row r="86" spans="1:22" ht="12.75">
      <c r="A86" s="329"/>
      <c r="K86" s="507"/>
      <c r="O86" s="502"/>
      <c r="P86" s="510"/>
      <c r="Q86" s="509"/>
      <c r="R86" s="509"/>
      <c r="S86" s="509"/>
      <c r="T86" s="509"/>
      <c r="U86" s="509"/>
      <c r="V86" s="509"/>
    </row>
    <row r="87" spans="1:22" ht="12.75">
      <c r="A87" s="329"/>
      <c r="O87" s="502"/>
      <c r="P87" s="509"/>
      <c r="Q87" s="509"/>
      <c r="R87" s="509"/>
      <c r="S87" s="509"/>
      <c r="T87" s="509"/>
      <c r="U87" s="509"/>
      <c r="V87" s="509"/>
    </row>
    <row r="88" spans="11:22" ht="12.75">
      <c r="K88" s="507"/>
      <c r="O88" s="502"/>
      <c r="P88" s="509" t="s">
        <v>600</v>
      </c>
      <c r="Q88" s="509"/>
      <c r="R88" s="509"/>
      <c r="S88" s="509"/>
      <c r="T88" s="509"/>
      <c r="U88" s="509"/>
      <c r="V88" s="509"/>
    </row>
    <row r="89" spans="15:22" ht="12.75">
      <c r="O89" s="502"/>
      <c r="P89" s="510">
        <f>K21+K22+K42+K43+K44+K45+K46+K47+K48+K49+K51</f>
        <v>0</v>
      </c>
      <c r="Q89" s="509"/>
      <c r="R89" s="509"/>
      <c r="S89" s="509"/>
      <c r="T89" s="509"/>
      <c r="U89" s="509"/>
      <c r="V89" s="509"/>
    </row>
    <row r="90" spans="11:22" ht="12.75">
      <c r="K90" s="507"/>
      <c r="P90" s="509" t="s">
        <v>601</v>
      </c>
      <c r="Q90" s="509"/>
      <c r="R90" s="509"/>
      <c r="S90" s="509"/>
      <c r="T90" s="509"/>
      <c r="U90" s="509"/>
      <c r="V90" s="509"/>
    </row>
    <row r="91" spans="16:22" ht="12.75">
      <c r="P91" s="510">
        <f>K25+K64</f>
        <v>0</v>
      </c>
      <c r="Q91" s="509"/>
      <c r="R91" s="509"/>
      <c r="S91" s="509"/>
      <c r="T91" s="509"/>
      <c r="U91" s="509"/>
      <c r="V91" s="509"/>
    </row>
    <row r="92" spans="16:22" ht="12.75">
      <c r="P92" s="509" t="s">
        <v>602</v>
      </c>
      <c r="Q92" s="509"/>
      <c r="R92" s="509"/>
      <c r="S92" s="509"/>
      <c r="T92" s="509"/>
      <c r="U92" s="509"/>
      <c r="V92" s="509"/>
    </row>
    <row r="93" spans="16:22" ht="12.75">
      <c r="P93" s="510">
        <f>P89+P91+K73</f>
        <v>0</v>
      </c>
      <c r="Q93" s="512" t="s">
        <v>603</v>
      </c>
      <c r="R93" s="512"/>
      <c r="S93" s="512"/>
      <c r="T93" s="512"/>
      <c r="U93" s="509"/>
      <c r="V93" s="509"/>
    </row>
  </sheetData>
  <sheetProtection password="83AF" sheet="1"/>
  <mergeCells count="2">
    <mergeCell ref="D9:I9"/>
    <mergeCell ref="K9:N9"/>
  </mergeCells>
  <dataValidations count="1">
    <dataValidation type="decimal" allowBlank="1" showInputMessage="1" showErrorMessage="1" promptTitle="Input cell" prompt="Use digits and decimal mark only." errorTitle="Input error" error="Use digits and decimal mark only." sqref="C12:I19 C21:I23 C25:I33 C35:I36 C38:I40 C42:I49 C51:I62 C64:I65 C67:I71 C73:I75 C77:I78">
      <formula1>-99999999999999900000000</formula1>
      <formula2>9.99999999999999E+22</formula2>
    </dataValidation>
  </dataValidations>
  <printOptions/>
  <pageMargins left="0.3937007874015748" right="0.3937007874015748" top="0.7480314960629921" bottom="0.7480314960629921" header="0.31496062992125984" footer="0.31496062992125984"/>
  <pageSetup fitToHeight="2" fitToWidth="1" horizontalDpi="600" verticalDpi="600" orientation="landscape" paperSize="9" scale="91" r:id="rId1"/>
  <headerFooter>
    <oddFooter>&amp;L&amp;A
Printed &amp;D</oddFooter>
  </headerFooter>
</worksheet>
</file>

<file path=xl/worksheets/sheet27.xml><?xml version="1.0" encoding="utf-8"?>
<worksheet xmlns="http://schemas.openxmlformats.org/spreadsheetml/2006/main" xmlns:r="http://schemas.openxmlformats.org/officeDocument/2006/relationships">
  <dimension ref="A1:E21"/>
  <sheetViews>
    <sheetView zoomScalePageLayoutView="0" workbookViewId="0" topLeftCell="A1">
      <selection activeCell="B6" sqref="B6"/>
    </sheetView>
  </sheetViews>
  <sheetFormatPr defaultColWidth="9.140625" defaultRowHeight="12.75"/>
  <cols>
    <col min="1" max="1" width="40.00390625" style="9" customWidth="1"/>
    <col min="2" max="2" width="40.421875" style="9" customWidth="1"/>
  </cols>
  <sheetData>
    <row r="1" spans="1:2" ht="12.75">
      <c r="A1" s="479"/>
      <c r="B1" s="479"/>
    </row>
    <row r="2" spans="1:2" ht="12.75">
      <c r="A2" s="480" t="s">
        <v>566</v>
      </c>
      <c r="B2" s="480" t="s">
        <v>573</v>
      </c>
    </row>
    <row r="3" spans="1:2" ht="12.75">
      <c r="A3" s="481" t="s">
        <v>572</v>
      </c>
      <c r="B3" s="382" t="s">
        <v>572</v>
      </c>
    </row>
    <row r="4" spans="1:2" ht="12.75">
      <c r="A4" s="481" t="s">
        <v>553</v>
      </c>
      <c r="B4" s="382" t="s">
        <v>553</v>
      </c>
    </row>
    <row r="5" spans="1:2" ht="12.75">
      <c r="A5" s="481" t="s">
        <v>567</v>
      </c>
      <c r="B5" s="382" t="s">
        <v>567</v>
      </c>
    </row>
    <row r="6" spans="1:2" ht="12.75">
      <c r="A6" s="481" t="s">
        <v>43</v>
      </c>
      <c r="B6" s="382" t="s">
        <v>43</v>
      </c>
    </row>
    <row r="7" spans="1:2" ht="12.75">
      <c r="A7" s="481" t="s">
        <v>382</v>
      </c>
      <c r="B7" s="480" t="str">
        <f>yes&amp;"/"&amp;no&amp;"/"&amp;que</f>
        <v>Y/N/?</v>
      </c>
    </row>
    <row r="8" spans="1:2" ht="12.75">
      <c r="A8" s="481" t="s">
        <v>574</v>
      </c>
      <c r="B8" s="480" t="str">
        <f>yes&amp;"/"&amp;no</f>
        <v>Y/N</v>
      </c>
    </row>
    <row r="9" spans="1:2" ht="12.75">
      <c r="A9" s="480"/>
      <c r="B9" s="480"/>
    </row>
    <row r="10" spans="1:5" ht="51">
      <c r="A10" s="481" t="s">
        <v>906</v>
      </c>
      <c r="B10" s="382" t="s">
        <v>906</v>
      </c>
      <c r="E10" s="8"/>
    </row>
    <row r="11" spans="1:5" ht="51">
      <c r="A11" s="481" t="s">
        <v>907</v>
      </c>
      <c r="B11" s="382" t="s">
        <v>907</v>
      </c>
      <c r="E11" s="8"/>
    </row>
    <row r="12" spans="1:2" ht="25.5">
      <c r="A12" s="481" t="s">
        <v>568</v>
      </c>
      <c r="B12" s="382" t="s">
        <v>568</v>
      </c>
    </row>
    <row r="13" spans="1:2" ht="12.75">
      <c r="A13" s="481" t="s">
        <v>744</v>
      </c>
      <c r="B13" s="382" t="s">
        <v>619</v>
      </c>
    </row>
    <row r="15" ht="12.75">
      <c r="A15" s="12" t="s">
        <v>577</v>
      </c>
    </row>
    <row r="16" spans="1:2" ht="12.75">
      <c r="A16" s="53" t="s">
        <v>575</v>
      </c>
      <c r="B16" s="9" t="s">
        <v>569</v>
      </c>
    </row>
    <row r="17" spans="1:2" ht="12.75">
      <c r="A17" s="53" t="s">
        <v>576</v>
      </c>
      <c r="B17" s="9" t="s">
        <v>570</v>
      </c>
    </row>
    <row r="19" spans="1:2" ht="25.5" customHeight="1">
      <c r="A19" s="704" t="s">
        <v>571</v>
      </c>
      <c r="B19" s="704"/>
    </row>
    <row r="21" ht="51">
      <c r="A21" s="491" t="s">
        <v>620</v>
      </c>
    </row>
  </sheetData>
  <sheetProtection password="83AF" sheet="1"/>
  <mergeCells count="1">
    <mergeCell ref="A19:B19"/>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74"/>
  <sheetViews>
    <sheetView zoomScalePageLayoutView="0" workbookViewId="0" topLeftCell="D1">
      <selection activeCell="V8" sqref="V8:AA8"/>
    </sheetView>
  </sheetViews>
  <sheetFormatPr defaultColWidth="9.140625" defaultRowHeight="12.75"/>
  <cols>
    <col min="1" max="1" width="3.00390625" style="0" customWidth="1"/>
    <col min="2" max="2" width="6.140625" style="0" customWidth="1"/>
    <col min="3" max="3" width="32.57421875" style="0" customWidth="1"/>
    <col min="4" max="4" width="7.28125" style="0" customWidth="1"/>
    <col min="5" max="5" width="11.00390625" style="0" customWidth="1"/>
    <col min="6" max="6" width="12.28125" style="0" customWidth="1"/>
    <col min="7" max="7" width="10.28125" style="0" customWidth="1"/>
    <col min="8" max="8" width="16.8515625" style="0" customWidth="1"/>
    <col min="9" max="9" width="12.57421875" style="242" customWidth="1"/>
    <col min="10" max="10" width="16.00390625" style="0" customWidth="1"/>
    <col min="11" max="11" width="11.28125" style="0" customWidth="1"/>
    <col min="12" max="12" width="11.57421875" style="0" customWidth="1"/>
    <col min="13" max="13" width="10.8515625" style="13" customWidth="1"/>
    <col min="14" max="14" width="9.140625" style="242" customWidth="1"/>
    <col min="15" max="15" width="8.00390625" style="0" customWidth="1"/>
    <col min="16" max="16" width="5.8515625" style="0" customWidth="1"/>
    <col min="17" max="17" width="6.00390625" style="0" customWidth="1"/>
    <col min="18" max="19" width="7.57421875" style="0" customWidth="1"/>
    <col min="21" max="21" width="18.57421875" style="0" customWidth="1"/>
    <col min="22" max="22" width="12.57421875" style="0" customWidth="1"/>
    <col min="24" max="25" width="9.7109375" style="0" customWidth="1"/>
    <col min="26" max="26" width="11.57421875" style="0" customWidth="1"/>
    <col min="27" max="27" width="18.421875" style="0" customWidth="1"/>
    <col min="28" max="28" width="63.421875" style="0" customWidth="1"/>
  </cols>
  <sheetData>
    <row r="1" spans="1:14" ht="18">
      <c r="A1" s="1" t="s">
        <v>34</v>
      </c>
      <c r="I1" s="232"/>
      <c r="N1" s="232"/>
    </row>
    <row r="2" spans="1:14" ht="15">
      <c r="A2" s="54" t="s">
        <v>322</v>
      </c>
      <c r="I2" s="232"/>
      <c r="N2" s="232"/>
    </row>
    <row r="3" spans="4:28" s="181" customFormat="1" ht="12.75">
      <c r="D3" s="182"/>
      <c r="E3" s="182"/>
      <c r="F3" s="182"/>
      <c r="G3" s="182"/>
      <c r="H3" s="182"/>
      <c r="I3" s="260"/>
      <c r="J3" s="182"/>
      <c r="K3" s="182"/>
      <c r="L3" s="182"/>
      <c r="M3" s="183"/>
      <c r="N3" s="260"/>
      <c r="O3" s="182"/>
      <c r="P3" s="111" t="s">
        <v>55</v>
      </c>
      <c r="Q3" s="111"/>
      <c r="R3" s="111"/>
      <c r="S3" s="111"/>
      <c r="T3" s="111"/>
      <c r="U3" s="111"/>
      <c r="V3" s="192" t="s">
        <v>54</v>
      </c>
      <c r="W3" s="56"/>
      <c r="X3" s="56"/>
      <c r="Y3" s="56"/>
      <c r="Z3" s="56"/>
      <c r="AA3" s="56"/>
      <c r="AB3" s="111"/>
    </row>
    <row r="4" spans="1:28" s="187" customFormat="1" ht="51">
      <c r="A4" s="187" t="s">
        <v>52</v>
      </c>
      <c r="B4" s="187" t="s">
        <v>50</v>
      </c>
      <c r="C4" s="136" t="s">
        <v>59</v>
      </c>
      <c r="D4" s="112" t="s">
        <v>159</v>
      </c>
      <c r="E4" s="136" t="s">
        <v>49</v>
      </c>
      <c r="F4" s="139" t="s">
        <v>35</v>
      </c>
      <c r="G4" s="112" t="s">
        <v>37</v>
      </c>
      <c r="H4" s="139" t="s">
        <v>35</v>
      </c>
      <c r="I4" s="247" t="s">
        <v>51</v>
      </c>
      <c r="J4" s="187" t="s">
        <v>35</v>
      </c>
      <c r="K4" s="84" t="s">
        <v>61</v>
      </c>
      <c r="L4" s="139" t="s">
        <v>35</v>
      </c>
      <c r="M4" s="157" t="s">
        <v>289</v>
      </c>
      <c r="N4" s="247" t="s">
        <v>94</v>
      </c>
      <c r="O4" s="139" t="s">
        <v>35</v>
      </c>
      <c r="P4" s="111" t="s">
        <v>38</v>
      </c>
      <c r="Q4" s="111" t="s">
        <v>39</v>
      </c>
      <c r="R4" s="111" t="s">
        <v>40</v>
      </c>
      <c r="S4" s="111" t="s">
        <v>41</v>
      </c>
      <c r="T4" s="112" t="s">
        <v>42</v>
      </c>
      <c r="U4" s="112" t="s">
        <v>237</v>
      </c>
      <c r="V4" s="56" t="s">
        <v>38</v>
      </c>
      <c r="W4" s="56" t="s">
        <v>39</v>
      </c>
      <c r="X4" s="56" t="s">
        <v>40</v>
      </c>
      <c r="Y4" s="56" t="s">
        <v>41</v>
      </c>
      <c r="Z4" s="57" t="s">
        <v>42</v>
      </c>
      <c r="AA4" s="57" t="s">
        <v>237</v>
      </c>
      <c r="AB4" s="111" t="s">
        <v>89</v>
      </c>
    </row>
    <row r="5" spans="1:28" s="129" customFormat="1" ht="38.25">
      <c r="A5" s="129" t="s">
        <v>283</v>
      </c>
      <c r="C5" s="134" t="s">
        <v>285</v>
      </c>
      <c r="D5" s="111"/>
      <c r="F5" s="128"/>
      <c r="G5" s="76"/>
      <c r="H5" s="128"/>
      <c r="I5" s="249"/>
      <c r="K5" s="190"/>
      <c r="L5" s="128"/>
      <c r="M5" s="135"/>
      <c r="N5" s="249"/>
      <c r="O5" s="128"/>
      <c r="P5" s="127"/>
      <c r="Q5" s="127"/>
      <c r="R5" s="127"/>
      <c r="S5" s="127"/>
      <c r="T5" s="127"/>
      <c r="U5" s="127"/>
      <c r="V5" s="58"/>
      <c r="W5" s="58"/>
      <c r="X5" s="58"/>
      <c r="Y5" s="58"/>
      <c r="Z5" s="58"/>
      <c r="AA5" s="58"/>
      <c r="AB5" s="76"/>
    </row>
    <row r="6" spans="2:28" ht="25.5">
      <c r="B6" t="s">
        <v>284</v>
      </c>
      <c r="C6" s="12" t="s">
        <v>286</v>
      </c>
      <c r="D6" s="111"/>
      <c r="E6" s="45" t="s">
        <v>282</v>
      </c>
      <c r="F6" s="46" t="s">
        <v>282</v>
      </c>
      <c r="G6" s="189">
        <v>1.00452</v>
      </c>
      <c r="H6" s="303" t="s">
        <v>552</v>
      </c>
      <c r="I6" s="254">
        <f>'Step5-Waste treatment+recycling'!C9</f>
        <v>0</v>
      </c>
      <c r="J6" s="303" t="s">
        <v>473</v>
      </c>
      <c r="K6" s="190">
        <f>I6*G6</f>
        <v>0</v>
      </c>
      <c r="L6" s="7" t="s">
        <v>366</v>
      </c>
      <c r="M6" s="39" t="s">
        <v>368</v>
      </c>
      <c r="N6" s="468">
        <f>K6</f>
        <v>0</v>
      </c>
      <c r="O6" s="3" t="s">
        <v>36</v>
      </c>
      <c r="P6" s="131">
        <v>0.002</v>
      </c>
      <c r="Q6" s="131">
        <v>0.0024</v>
      </c>
      <c r="R6" s="131"/>
      <c r="S6" s="193" t="s">
        <v>282</v>
      </c>
      <c r="T6" s="131"/>
      <c r="U6" s="131">
        <v>0.00012</v>
      </c>
      <c r="V6" s="114">
        <f aca="true" t="shared" si="0" ref="V6:AA6">$N6*P6</f>
        <v>0</v>
      </c>
      <c r="W6" s="114">
        <f t="shared" si="0"/>
        <v>0</v>
      </c>
      <c r="X6" s="114">
        <f t="shared" si="0"/>
        <v>0</v>
      </c>
      <c r="Y6" s="200" t="s">
        <v>282</v>
      </c>
      <c r="Z6" s="114">
        <f t="shared" si="0"/>
        <v>0</v>
      </c>
      <c r="AA6" s="114">
        <f t="shared" si="0"/>
        <v>0</v>
      </c>
      <c r="AB6" s="76"/>
    </row>
    <row r="7" spans="2:28" s="55" customFormat="1" ht="12.75">
      <c r="B7" s="104"/>
      <c r="C7" s="136"/>
      <c r="D7" s="76"/>
      <c r="G7" s="76"/>
      <c r="I7" s="249"/>
      <c r="K7" s="190"/>
      <c r="M7" s="107"/>
      <c r="N7" s="250"/>
      <c r="P7" s="127"/>
      <c r="Q7" s="127"/>
      <c r="R7" s="127"/>
      <c r="S7" s="127"/>
      <c r="T7" s="127"/>
      <c r="U7" s="127"/>
      <c r="V7" s="114"/>
      <c r="W7" s="114"/>
      <c r="X7" s="114"/>
      <c r="Y7" s="114"/>
      <c r="Z7" s="114"/>
      <c r="AA7" s="114"/>
      <c r="AB7" s="76"/>
    </row>
    <row r="8" spans="1:28" ht="25.5">
      <c r="A8" s="3"/>
      <c r="B8" s="3" t="s">
        <v>154</v>
      </c>
      <c r="C8" s="12" t="s">
        <v>287</v>
      </c>
      <c r="D8" s="111"/>
      <c r="E8" s="44" t="s">
        <v>544</v>
      </c>
      <c r="F8" s="44" t="s">
        <v>545</v>
      </c>
      <c r="G8" s="127">
        <v>1.1</v>
      </c>
      <c r="H8" s="44" t="s">
        <v>545</v>
      </c>
      <c r="I8" s="254">
        <f>'Step5-Waste treatment+recycling'!C10</f>
        <v>0</v>
      </c>
      <c r="J8" s="303" t="s">
        <v>546</v>
      </c>
      <c r="K8" s="190">
        <f>I8*G8/1000</f>
        <v>0</v>
      </c>
      <c r="L8" s="3" t="s">
        <v>36</v>
      </c>
      <c r="M8" s="14"/>
      <c r="N8" s="250">
        <f>K8</f>
        <v>0</v>
      </c>
      <c r="O8" s="3" t="s">
        <v>36</v>
      </c>
      <c r="P8" s="288">
        <v>0.33</v>
      </c>
      <c r="Q8" s="288"/>
      <c r="R8" s="288">
        <v>0.34</v>
      </c>
      <c r="S8" s="288"/>
      <c r="T8" s="288">
        <v>0.33</v>
      </c>
      <c r="U8" s="288"/>
      <c r="V8" s="114">
        <f aca="true" t="shared" si="1" ref="V8:AA8">$N8*P8</f>
        <v>0</v>
      </c>
      <c r="W8" s="114">
        <f t="shared" si="1"/>
        <v>0</v>
      </c>
      <c r="X8" s="114">
        <f t="shared" si="1"/>
        <v>0</v>
      </c>
      <c r="Y8" s="114">
        <f t="shared" si="1"/>
        <v>0</v>
      </c>
      <c r="Z8" s="114">
        <f t="shared" si="1"/>
        <v>0</v>
      </c>
      <c r="AA8" s="114">
        <f t="shared" si="1"/>
        <v>0</v>
      </c>
      <c r="AB8" s="76"/>
    </row>
    <row r="9" spans="1:28" s="55" customFormat="1" ht="12.75">
      <c r="A9" s="152"/>
      <c r="B9" s="104"/>
      <c r="C9" s="137"/>
      <c r="D9" s="111"/>
      <c r="E9" s="106"/>
      <c r="F9" s="104"/>
      <c r="G9" s="76"/>
      <c r="H9" s="104"/>
      <c r="I9" s="250"/>
      <c r="K9" s="191"/>
      <c r="L9" s="104"/>
      <c r="M9" s="163"/>
      <c r="N9" s="250"/>
      <c r="O9" s="104"/>
      <c r="P9" s="349"/>
      <c r="Q9" s="349"/>
      <c r="R9" s="349"/>
      <c r="S9" s="349"/>
      <c r="T9" s="349"/>
      <c r="U9" s="349"/>
      <c r="V9" s="114"/>
      <c r="W9" s="114"/>
      <c r="X9" s="114"/>
      <c r="Y9" s="114"/>
      <c r="Z9" s="114"/>
      <c r="AA9" s="114"/>
      <c r="AB9" s="76"/>
    </row>
    <row r="10" spans="2:28" s="128" customFormat="1" ht="25.5">
      <c r="B10" s="128" t="s">
        <v>154</v>
      </c>
      <c r="C10" s="134" t="s">
        <v>288</v>
      </c>
      <c r="D10" s="111"/>
      <c r="E10" s="188" t="s">
        <v>43</v>
      </c>
      <c r="F10" s="188" t="s">
        <v>43</v>
      </c>
      <c r="G10" s="349">
        <v>0.6</v>
      </c>
      <c r="H10" s="188" t="s">
        <v>43</v>
      </c>
      <c r="I10" s="254"/>
      <c r="J10" s="188" t="s">
        <v>43</v>
      </c>
      <c r="K10" s="190">
        <f>I10*G10/1000</f>
        <v>0</v>
      </c>
      <c r="L10" s="128" t="s">
        <v>36</v>
      </c>
      <c r="M10" s="135"/>
      <c r="N10" s="250">
        <f>K10</f>
        <v>0</v>
      </c>
      <c r="O10" s="128" t="s">
        <v>36</v>
      </c>
      <c r="P10" s="288">
        <v>0.3</v>
      </c>
      <c r="Q10" s="288">
        <v>0.1</v>
      </c>
      <c r="R10" s="288"/>
      <c r="S10" s="288"/>
      <c r="T10" s="288">
        <v>0.3</v>
      </c>
      <c r="U10" s="288">
        <v>0.3</v>
      </c>
      <c r="V10" s="114">
        <f aca="true" t="shared" si="2" ref="V10:AA10">$N10*P10</f>
        <v>0</v>
      </c>
      <c r="W10" s="114">
        <f t="shared" si="2"/>
        <v>0</v>
      </c>
      <c r="X10" s="114">
        <f t="shared" si="2"/>
        <v>0</v>
      </c>
      <c r="Y10" s="114">
        <f t="shared" si="2"/>
        <v>0</v>
      </c>
      <c r="Z10" s="114">
        <f t="shared" si="2"/>
        <v>0</v>
      </c>
      <c r="AA10" s="114">
        <f t="shared" si="2"/>
        <v>0</v>
      </c>
      <c r="AB10" s="76"/>
    </row>
    <row r="11" spans="5:27" s="3" customFormat="1" ht="12.75">
      <c r="E11" s="11"/>
      <c r="I11" s="251"/>
      <c r="K11" s="21"/>
      <c r="M11" s="29"/>
      <c r="N11" s="258"/>
      <c r="O11" s="28"/>
      <c r="P11" s="23"/>
      <c r="Q11" s="23"/>
      <c r="R11" s="24"/>
      <c r="S11" s="24"/>
      <c r="T11" s="23"/>
      <c r="V11" s="25"/>
      <c r="W11" s="25"/>
      <c r="X11" s="25"/>
      <c r="Y11" s="25"/>
      <c r="Z11" s="25"/>
      <c r="AA11" s="25"/>
    </row>
    <row r="12" spans="3:27" s="3" customFormat="1" ht="12.75">
      <c r="C12" s="3" t="s">
        <v>290</v>
      </c>
      <c r="D12" s="3" t="s">
        <v>291</v>
      </c>
      <c r="E12" s="11"/>
      <c r="I12" s="251"/>
      <c r="K12" s="21"/>
      <c r="M12" s="28"/>
      <c r="N12" s="258"/>
      <c r="O12" s="28"/>
      <c r="P12" s="23"/>
      <c r="Q12" s="23"/>
      <c r="R12" s="24"/>
      <c r="S12" s="24"/>
      <c r="T12" s="23"/>
      <c r="V12" s="22"/>
      <c r="W12" s="22"/>
      <c r="X12" s="22"/>
      <c r="Y12" s="22"/>
      <c r="Z12" s="22"/>
      <c r="AA12" s="22"/>
    </row>
    <row r="13" spans="4:27" s="3" customFormat="1" ht="12.75">
      <c r="D13" s="3" t="s">
        <v>360</v>
      </c>
      <c r="E13" s="11"/>
      <c r="I13" s="251"/>
      <c r="K13" s="21"/>
      <c r="M13" s="28"/>
      <c r="N13" s="258"/>
      <c r="O13" s="28"/>
      <c r="P13" s="23"/>
      <c r="Q13" s="23"/>
      <c r="R13" s="24"/>
      <c r="S13" s="24"/>
      <c r="T13" s="23"/>
      <c r="V13" s="22"/>
      <c r="W13" s="22"/>
      <c r="X13" s="22"/>
      <c r="Y13" s="22"/>
      <c r="Z13" s="22"/>
      <c r="AA13" s="22"/>
    </row>
    <row r="14" spans="4:27" s="3" customFormat="1" ht="12.75">
      <c r="D14" s="36" t="s">
        <v>367</v>
      </c>
      <c r="E14" s="11"/>
      <c r="I14" s="251"/>
      <c r="K14" s="21"/>
      <c r="M14" s="30"/>
      <c r="N14" s="258"/>
      <c r="O14" s="28"/>
      <c r="P14" s="23"/>
      <c r="Q14" s="23"/>
      <c r="R14" s="24"/>
      <c r="S14" s="24"/>
      <c r="T14" s="23"/>
      <c r="V14" s="22"/>
      <c r="W14" s="22"/>
      <c r="X14" s="22"/>
      <c r="Y14" s="22"/>
      <c r="Z14" s="22"/>
      <c r="AA14" s="22"/>
    </row>
    <row r="15" spans="5:27" s="3" customFormat="1" ht="12.75">
      <c r="E15" s="11"/>
      <c r="I15" s="251"/>
      <c r="K15" s="21"/>
      <c r="M15" s="30"/>
      <c r="N15" s="258"/>
      <c r="O15" s="28"/>
      <c r="P15" s="23"/>
      <c r="Q15" s="23"/>
      <c r="R15" s="24"/>
      <c r="S15" s="24"/>
      <c r="T15" s="23"/>
      <c r="V15" s="22"/>
      <c r="W15" s="22"/>
      <c r="X15" s="22"/>
      <c r="Y15" s="22"/>
      <c r="Z15" s="22"/>
      <c r="AA15" s="22"/>
    </row>
    <row r="16" spans="5:27" s="3" customFormat="1" ht="12.75">
      <c r="E16" s="11"/>
      <c r="F16" s="469"/>
      <c r="G16" s="469"/>
      <c r="H16" s="471"/>
      <c r="I16" s="251"/>
      <c r="K16" s="21"/>
      <c r="M16" s="31"/>
      <c r="N16" s="258"/>
      <c r="O16" s="28"/>
      <c r="P16" s="23"/>
      <c r="Q16" s="23"/>
      <c r="R16" s="24"/>
      <c r="S16" s="24"/>
      <c r="T16" s="23"/>
      <c r="V16" s="22"/>
      <c r="W16" s="22"/>
      <c r="X16" s="22"/>
      <c r="Y16" s="22"/>
      <c r="Z16" s="22"/>
      <c r="AA16" s="22"/>
    </row>
    <row r="17" spans="3:27" s="3" customFormat="1" ht="12.75">
      <c r="C17" s="7"/>
      <c r="D17" s="7"/>
      <c r="E17" s="11"/>
      <c r="F17" s="469"/>
      <c r="G17" s="469"/>
      <c r="H17" s="471"/>
      <c r="I17" s="470"/>
      <c r="K17" s="21"/>
      <c r="M17" s="29"/>
      <c r="N17" s="258"/>
      <c r="O17" s="28"/>
      <c r="P17" s="23"/>
      <c r="Q17" s="23"/>
      <c r="R17" s="24"/>
      <c r="S17" s="24"/>
      <c r="T17" s="23"/>
      <c r="V17" s="25"/>
      <c r="W17" s="25"/>
      <c r="X17" s="25"/>
      <c r="Y17" s="25"/>
      <c r="Z17" s="25"/>
      <c r="AA17" s="25"/>
    </row>
    <row r="18" spans="3:27" s="3" customFormat="1" ht="12.75">
      <c r="C18" s="7"/>
      <c r="D18" s="7"/>
      <c r="E18" s="11"/>
      <c r="F18" s="469"/>
      <c r="G18" s="469"/>
      <c r="H18" s="471"/>
      <c r="I18" s="470"/>
      <c r="K18" s="21"/>
      <c r="M18" s="29"/>
      <c r="N18" s="258"/>
      <c r="O18" s="28"/>
      <c r="P18" s="23"/>
      <c r="Q18" s="23"/>
      <c r="R18" s="24"/>
      <c r="S18" s="24"/>
      <c r="T18" s="23"/>
      <c r="V18" s="22"/>
      <c r="W18" s="22"/>
      <c r="X18" s="22"/>
      <c r="Y18" s="22"/>
      <c r="Z18" s="22"/>
      <c r="AA18" s="22"/>
    </row>
    <row r="19" spans="3:27" s="3" customFormat="1" ht="12.75">
      <c r="C19" s="7"/>
      <c r="D19" s="7"/>
      <c r="E19" s="11"/>
      <c r="F19" s="469"/>
      <c r="G19" s="469"/>
      <c r="H19" s="471"/>
      <c r="I19" s="470"/>
      <c r="K19" s="22"/>
      <c r="M19" s="29"/>
      <c r="N19" s="258"/>
      <c r="O19" s="28"/>
      <c r="P19" s="23"/>
      <c r="Q19" s="23"/>
      <c r="R19" s="24"/>
      <c r="S19" s="24"/>
      <c r="T19" s="23"/>
      <c r="V19" s="22"/>
      <c r="W19" s="22"/>
      <c r="X19" s="22"/>
      <c r="Y19" s="22"/>
      <c r="Z19" s="22"/>
      <c r="AA19" s="22"/>
    </row>
    <row r="20" spans="5:27" s="3" customFormat="1" ht="12.75">
      <c r="E20" s="11"/>
      <c r="F20" s="469"/>
      <c r="G20" s="469"/>
      <c r="H20" s="471"/>
      <c r="I20" s="470"/>
      <c r="K20" s="22"/>
      <c r="M20" s="29"/>
      <c r="N20" s="258"/>
      <c r="O20" s="28"/>
      <c r="P20" s="23"/>
      <c r="Q20" s="23"/>
      <c r="R20" s="24"/>
      <c r="S20" s="24"/>
      <c r="T20" s="23"/>
      <c r="V20" s="22"/>
      <c r="W20" s="22"/>
      <c r="X20" s="22"/>
      <c r="Y20" s="22"/>
      <c r="Z20" s="22"/>
      <c r="AA20" s="22"/>
    </row>
    <row r="21" spans="5:27" s="3" customFormat="1" ht="12.75">
      <c r="E21" s="11"/>
      <c r="F21" s="469"/>
      <c r="G21" s="469"/>
      <c r="H21" s="469"/>
      <c r="I21" s="470"/>
      <c r="K21" s="22"/>
      <c r="M21" s="30"/>
      <c r="N21" s="258"/>
      <c r="O21" s="28"/>
      <c r="P21" s="23"/>
      <c r="Q21" s="23"/>
      <c r="R21" s="24"/>
      <c r="S21" s="24"/>
      <c r="T21" s="23"/>
      <c r="V21" s="22"/>
      <c r="W21" s="22"/>
      <c r="X21" s="22"/>
      <c r="Y21" s="22"/>
      <c r="Z21" s="22"/>
      <c r="AA21" s="22"/>
    </row>
    <row r="22" spans="5:27" s="3" customFormat="1" ht="12.75">
      <c r="E22" s="11"/>
      <c r="I22" s="251"/>
      <c r="K22" s="22"/>
      <c r="M22" s="30"/>
      <c r="N22" s="258"/>
      <c r="O22" s="28"/>
      <c r="P22" s="23"/>
      <c r="Q22" s="23"/>
      <c r="R22" s="24"/>
      <c r="S22" s="24"/>
      <c r="T22" s="23"/>
      <c r="V22" s="22"/>
      <c r="W22" s="22"/>
      <c r="X22" s="22"/>
      <c r="Y22" s="22"/>
      <c r="Z22" s="22"/>
      <c r="AA22" s="22"/>
    </row>
    <row r="23" spans="3:27" s="3" customFormat="1" ht="12.75">
      <c r="C23" s="7"/>
      <c r="D23" s="7"/>
      <c r="E23" s="11"/>
      <c r="I23" s="251"/>
      <c r="K23" s="22"/>
      <c r="M23" s="31"/>
      <c r="N23" s="258"/>
      <c r="O23" s="28"/>
      <c r="P23" s="23"/>
      <c r="Q23" s="23"/>
      <c r="R23" s="24"/>
      <c r="S23" s="24"/>
      <c r="T23" s="23"/>
      <c r="V23" s="22"/>
      <c r="W23" s="22"/>
      <c r="X23" s="22"/>
      <c r="Y23" s="22"/>
      <c r="Z23" s="22"/>
      <c r="AA23" s="22"/>
    </row>
    <row r="24" spans="3:27" s="3" customFormat="1" ht="12.75">
      <c r="C24" s="26"/>
      <c r="D24" s="26"/>
      <c r="E24" s="11"/>
      <c r="I24" s="251"/>
      <c r="K24" s="22"/>
      <c r="M24" s="29"/>
      <c r="N24" s="258"/>
      <c r="O24" s="28"/>
      <c r="P24" s="23"/>
      <c r="Q24" s="23"/>
      <c r="R24" s="24"/>
      <c r="S24" s="24"/>
      <c r="T24" s="23"/>
      <c r="V24" s="22"/>
      <c r="W24" s="22"/>
      <c r="X24" s="22"/>
      <c r="Y24" s="22"/>
      <c r="Z24" s="22"/>
      <c r="AA24" s="22"/>
    </row>
    <row r="25" spans="5:27" s="3" customFormat="1" ht="12.75">
      <c r="E25" s="11"/>
      <c r="I25" s="251"/>
      <c r="K25" s="22"/>
      <c r="M25" s="29"/>
      <c r="N25" s="258"/>
      <c r="O25" s="28"/>
      <c r="P25" s="23"/>
      <c r="Q25" s="23"/>
      <c r="R25" s="24"/>
      <c r="S25" s="24"/>
      <c r="T25" s="23"/>
      <c r="V25" s="22"/>
      <c r="W25" s="22"/>
      <c r="X25" s="22"/>
      <c r="Y25" s="22"/>
      <c r="Z25" s="22"/>
      <c r="AA25" s="22"/>
    </row>
    <row r="26" spans="5:27" s="3" customFormat="1" ht="12.75">
      <c r="E26" s="11"/>
      <c r="I26" s="251"/>
      <c r="K26" s="22"/>
      <c r="M26" s="29"/>
      <c r="N26" s="258"/>
      <c r="O26" s="28"/>
      <c r="P26" s="23"/>
      <c r="Q26" s="23"/>
      <c r="R26" s="24"/>
      <c r="S26" s="24"/>
      <c r="T26" s="23"/>
      <c r="V26" s="22"/>
      <c r="W26" s="22"/>
      <c r="X26" s="22"/>
      <c r="Y26" s="22"/>
      <c r="Z26" s="22"/>
      <c r="AA26" s="22"/>
    </row>
    <row r="27" spans="5:27" s="3" customFormat="1" ht="12.75">
      <c r="E27" s="11"/>
      <c r="I27" s="251"/>
      <c r="K27" s="22"/>
      <c r="M27" s="28"/>
      <c r="N27" s="258"/>
      <c r="O27" s="28"/>
      <c r="P27" s="23"/>
      <c r="Q27" s="23"/>
      <c r="R27" s="24"/>
      <c r="S27" s="24"/>
      <c r="T27" s="23"/>
      <c r="V27" s="22"/>
      <c r="W27" s="22"/>
      <c r="X27" s="22"/>
      <c r="Y27" s="22"/>
      <c r="Z27" s="22"/>
      <c r="AA27" s="22"/>
    </row>
    <row r="28" spans="5:27" s="3" customFormat="1" ht="12.75">
      <c r="E28" s="11"/>
      <c r="I28" s="251"/>
      <c r="K28" s="21"/>
      <c r="M28" s="29"/>
      <c r="N28" s="258"/>
      <c r="O28" s="28"/>
      <c r="P28" s="23"/>
      <c r="Q28" s="23"/>
      <c r="R28" s="24"/>
      <c r="S28" s="24"/>
      <c r="T28" s="23"/>
      <c r="V28" s="22"/>
      <c r="W28" s="22"/>
      <c r="X28" s="22"/>
      <c r="Y28" s="22"/>
      <c r="Z28" s="22"/>
      <c r="AA28" s="22"/>
    </row>
    <row r="29" spans="5:27" s="3" customFormat="1" ht="12.75">
      <c r="E29" s="11"/>
      <c r="I29" s="251"/>
      <c r="K29" s="21"/>
      <c r="M29" s="29"/>
      <c r="N29" s="258"/>
      <c r="O29" s="28"/>
      <c r="P29" s="23"/>
      <c r="Q29" s="23"/>
      <c r="R29" s="24"/>
      <c r="S29" s="24"/>
      <c r="T29" s="23"/>
      <c r="V29" s="22"/>
      <c r="W29" s="22"/>
      <c r="X29" s="22"/>
      <c r="Y29" s="22"/>
      <c r="Z29" s="22"/>
      <c r="AA29" s="22"/>
    </row>
    <row r="30" spans="3:27" s="3" customFormat="1" ht="12.75">
      <c r="C30" s="7"/>
      <c r="D30" s="7"/>
      <c r="E30" s="11"/>
      <c r="I30" s="251"/>
      <c r="K30" s="21"/>
      <c r="M30" s="29"/>
      <c r="N30" s="258"/>
      <c r="O30" s="28"/>
      <c r="P30" s="23"/>
      <c r="Q30" s="23"/>
      <c r="R30" s="24"/>
      <c r="S30" s="24"/>
      <c r="T30" s="23"/>
      <c r="V30" s="25"/>
      <c r="W30" s="25"/>
      <c r="X30" s="25"/>
      <c r="Y30" s="25"/>
      <c r="Z30" s="25"/>
      <c r="AA30" s="25"/>
    </row>
    <row r="31" spans="3:27" s="3" customFormat="1" ht="12.75">
      <c r="C31" s="7"/>
      <c r="D31" s="7"/>
      <c r="E31" s="11"/>
      <c r="I31" s="251"/>
      <c r="K31" s="21"/>
      <c r="M31" s="30"/>
      <c r="N31" s="258"/>
      <c r="O31" s="28"/>
      <c r="P31" s="23"/>
      <c r="Q31" s="23"/>
      <c r="R31" s="23"/>
      <c r="S31" s="23"/>
      <c r="T31" s="23"/>
      <c r="U31" s="23"/>
      <c r="V31" s="22"/>
      <c r="W31" s="22"/>
      <c r="X31" s="22"/>
      <c r="Y31" s="22"/>
      <c r="Z31" s="22"/>
      <c r="AA31" s="22"/>
    </row>
    <row r="32" spans="3:27" s="3" customFormat="1" ht="12.75">
      <c r="C32" s="7"/>
      <c r="D32" s="7"/>
      <c r="E32" s="11"/>
      <c r="I32" s="251"/>
      <c r="K32" s="21"/>
      <c r="M32" s="30"/>
      <c r="N32" s="258"/>
      <c r="O32" s="28"/>
      <c r="P32" s="23"/>
      <c r="Q32" s="23"/>
      <c r="R32" s="24"/>
      <c r="S32" s="24"/>
      <c r="T32" s="23"/>
      <c r="V32" s="22"/>
      <c r="W32" s="22"/>
      <c r="X32" s="22"/>
      <c r="Y32" s="22"/>
      <c r="Z32" s="22"/>
      <c r="AA32" s="22"/>
    </row>
    <row r="33" spans="3:27" s="3" customFormat="1" ht="12.75">
      <c r="C33" s="7"/>
      <c r="D33" s="7"/>
      <c r="E33" s="11"/>
      <c r="I33" s="251"/>
      <c r="K33" s="21"/>
      <c r="M33" s="29"/>
      <c r="N33" s="258"/>
      <c r="O33" s="28"/>
      <c r="P33" s="23"/>
      <c r="Q33" s="23"/>
      <c r="R33" s="24"/>
      <c r="S33" s="24"/>
      <c r="T33" s="23"/>
      <c r="V33" s="22"/>
      <c r="W33" s="22"/>
      <c r="X33" s="22"/>
      <c r="Y33" s="22"/>
      <c r="Z33" s="22"/>
      <c r="AA33" s="22"/>
    </row>
    <row r="34" spans="5:27" s="3" customFormat="1" ht="12.75">
      <c r="E34" s="11"/>
      <c r="I34" s="251"/>
      <c r="K34" s="21"/>
      <c r="M34" s="29"/>
      <c r="N34" s="258"/>
      <c r="O34" s="28"/>
      <c r="P34" s="23"/>
      <c r="Q34" s="23"/>
      <c r="R34" s="24"/>
      <c r="S34" s="24"/>
      <c r="T34" s="23"/>
      <c r="V34" s="22"/>
      <c r="W34" s="22"/>
      <c r="X34" s="22"/>
      <c r="Y34" s="22"/>
      <c r="Z34" s="22"/>
      <c r="AA34" s="22"/>
    </row>
    <row r="35" spans="5:27" s="3" customFormat="1" ht="12.75">
      <c r="E35" s="11"/>
      <c r="I35" s="251"/>
      <c r="K35" s="21"/>
      <c r="M35" s="29"/>
      <c r="N35" s="258"/>
      <c r="O35" s="28"/>
      <c r="P35" s="23"/>
      <c r="Q35" s="23"/>
      <c r="R35" s="24"/>
      <c r="S35" s="24"/>
      <c r="T35" s="23"/>
      <c r="V35" s="22"/>
      <c r="W35" s="22"/>
      <c r="X35" s="22"/>
      <c r="Y35" s="22"/>
      <c r="Z35" s="22"/>
      <c r="AA35" s="22"/>
    </row>
    <row r="36" spans="3:27" s="3" customFormat="1" ht="12.75">
      <c r="C36" s="7"/>
      <c r="D36" s="7"/>
      <c r="E36" s="11"/>
      <c r="I36" s="251"/>
      <c r="K36" s="21"/>
      <c r="M36" s="28"/>
      <c r="N36" s="258"/>
      <c r="O36" s="28"/>
      <c r="P36" s="23"/>
      <c r="Q36" s="23"/>
      <c r="R36" s="24"/>
      <c r="S36" s="24"/>
      <c r="T36" s="23"/>
      <c r="V36" s="25"/>
      <c r="W36" s="25"/>
      <c r="X36" s="25"/>
      <c r="Y36" s="25"/>
      <c r="Z36" s="25"/>
      <c r="AA36" s="25"/>
    </row>
    <row r="37" spans="3:27" s="3" customFormat="1" ht="12.75">
      <c r="C37" s="7"/>
      <c r="D37" s="7"/>
      <c r="E37" s="11"/>
      <c r="I37" s="251"/>
      <c r="K37" s="21"/>
      <c r="M37" s="28"/>
      <c r="N37" s="258"/>
      <c r="O37" s="28"/>
      <c r="P37" s="23"/>
      <c r="Q37" s="23"/>
      <c r="R37" s="24"/>
      <c r="S37" s="24"/>
      <c r="T37" s="23"/>
      <c r="V37" s="22"/>
      <c r="W37" s="22"/>
      <c r="X37" s="22"/>
      <c r="Y37" s="22"/>
      <c r="Z37" s="22"/>
      <c r="AA37" s="22"/>
    </row>
    <row r="38" spans="3:27" s="3" customFormat="1" ht="12.75">
      <c r="C38" s="7"/>
      <c r="D38" s="7"/>
      <c r="I38" s="241"/>
      <c r="M38" s="31"/>
      <c r="N38" s="258"/>
      <c r="O38" s="28"/>
      <c r="P38" s="23"/>
      <c r="Q38" s="23"/>
      <c r="R38" s="24"/>
      <c r="S38" s="24"/>
      <c r="T38" s="23"/>
      <c r="V38" s="22"/>
      <c r="W38" s="22"/>
      <c r="X38" s="22"/>
      <c r="Y38" s="22"/>
      <c r="Z38" s="22"/>
      <c r="AA38" s="22"/>
    </row>
    <row r="39" spans="3:15" s="3" customFormat="1" ht="12.75">
      <c r="C39" s="7"/>
      <c r="D39" s="7"/>
      <c r="I39" s="241"/>
      <c r="M39" s="29"/>
      <c r="N39" s="258"/>
      <c r="O39" s="28"/>
    </row>
    <row r="40" spans="9:15" s="3" customFormat="1" ht="12.75">
      <c r="I40" s="241"/>
      <c r="M40" s="29"/>
      <c r="N40" s="258"/>
      <c r="O40" s="28"/>
    </row>
    <row r="41" spans="9:15" s="3" customFormat="1" ht="12.75">
      <c r="I41" s="241"/>
      <c r="M41" s="29"/>
      <c r="N41" s="258"/>
      <c r="O41" s="28"/>
    </row>
    <row r="42" spans="3:15" s="3" customFormat="1" ht="12.75">
      <c r="C42" s="7"/>
      <c r="D42" s="7"/>
      <c r="I42" s="241"/>
      <c r="M42" s="28"/>
      <c r="N42" s="258"/>
      <c r="O42" s="28"/>
    </row>
    <row r="43" spans="9:15" s="3" customFormat="1" ht="12.75">
      <c r="I43" s="241"/>
      <c r="M43" s="28"/>
      <c r="N43" s="258"/>
      <c r="O43" s="28"/>
    </row>
    <row r="44" spans="9:15" s="3" customFormat="1" ht="12.75">
      <c r="I44" s="241"/>
      <c r="M44" s="28"/>
      <c r="N44" s="258"/>
      <c r="O44" s="28"/>
    </row>
    <row r="45" spans="9:15" s="3" customFormat="1" ht="12.75">
      <c r="I45" s="241"/>
      <c r="M45" s="30"/>
      <c r="N45" s="258"/>
      <c r="O45" s="28"/>
    </row>
    <row r="46" spans="3:15" s="3" customFormat="1" ht="12.75">
      <c r="C46" s="7"/>
      <c r="D46" s="7"/>
      <c r="I46" s="241"/>
      <c r="M46" s="30"/>
      <c r="N46" s="258"/>
      <c r="O46" s="28"/>
    </row>
    <row r="47" spans="9:15" s="3" customFormat="1" ht="12.75">
      <c r="I47" s="241"/>
      <c r="M47" s="31"/>
      <c r="N47" s="258"/>
      <c r="O47" s="28"/>
    </row>
    <row r="48" spans="9:15" s="3" customFormat="1" ht="12.75">
      <c r="I48" s="241"/>
      <c r="M48" s="31"/>
      <c r="N48" s="258"/>
      <c r="O48" s="28"/>
    </row>
    <row r="49" spans="9:15" s="3" customFormat="1" ht="12.75">
      <c r="I49" s="241"/>
      <c r="M49" s="30"/>
      <c r="N49" s="258"/>
      <c r="O49" s="28"/>
    </row>
    <row r="50" spans="9:15" s="3" customFormat="1" ht="12.75">
      <c r="I50" s="241"/>
      <c r="M50" s="30"/>
      <c r="N50" s="258"/>
      <c r="O50" s="28"/>
    </row>
    <row r="51" spans="9:15" s="3" customFormat="1" ht="12.75">
      <c r="I51" s="241"/>
      <c r="M51" s="31"/>
      <c r="N51" s="258"/>
      <c r="O51" s="17"/>
    </row>
    <row r="52" spans="9:15" s="3" customFormat="1" ht="12.75">
      <c r="I52" s="241"/>
      <c r="M52" s="31"/>
      <c r="N52" s="258"/>
      <c r="O52" s="28"/>
    </row>
    <row r="53" spans="9:15" s="3" customFormat="1" ht="12.75">
      <c r="I53" s="241"/>
      <c r="M53" s="30"/>
      <c r="N53" s="258"/>
      <c r="O53" s="28"/>
    </row>
    <row r="54" spans="9:15" s="3" customFormat="1" ht="12.75">
      <c r="I54" s="241"/>
      <c r="M54" s="30"/>
      <c r="N54" s="258"/>
      <c r="O54" s="28"/>
    </row>
    <row r="55" spans="9:15" s="3" customFormat="1" ht="12.75">
      <c r="I55" s="241"/>
      <c r="M55" s="31"/>
      <c r="N55" s="258"/>
      <c r="O55" s="17"/>
    </row>
    <row r="56" spans="9:15" s="3" customFormat="1" ht="12.75">
      <c r="I56" s="241"/>
      <c r="M56" s="31"/>
      <c r="N56" s="259"/>
      <c r="O56" s="28"/>
    </row>
    <row r="57" spans="9:15" s="3" customFormat="1" ht="12.75">
      <c r="I57" s="241"/>
      <c r="M57" s="31"/>
      <c r="N57" s="259"/>
      <c r="O57" s="28"/>
    </row>
    <row r="58" spans="9:15" s="3" customFormat="1" ht="12.75">
      <c r="I58" s="241"/>
      <c r="M58" s="31"/>
      <c r="N58" s="259"/>
      <c r="O58" s="28"/>
    </row>
    <row r="59" spans="9:15" s="3" customFormat="1" ht="12.75">
      <c r="I59" s="241"/>
      <c r="M59" s="31"/>
      <c r="N59" s="259"/>
      <c r="O59" s="28"/>
    </row>
    <row r="60" spans="9:15" s="3" customFormat="1" ht="12.75">
      <c r="I60" s="241"/>
      <c r="M60" s="31"/>
      <c r="N60" s="259"/>
      <c r="O60" s="28"/>
    </row>
    <row r="61" spans="9:15" s="3" customFormat="1" ht="12.75">
      <c r="I61" s="241"/>
      <c r="M61" s="31"/>
      <c r="N61" s="259"/>
      <c r="O61" s="28"/>
    </row>
    <row r="62" spans="9:15" s="3" customFormat="1" ht="12.75">
      <c r="I62" s="241"/>
      <c r="M62" s="31"/>
      <c r="N62" s="259"/>
      <c r="O62" s="28"/>
    </row>
    <row r="63" spans="9:15" s="3" customFormat="1" ht="12.75">
      <c r="I63" s="241"/>
      <c r="M63" s="31"/>
      <c r="N63" s="259"/>
      <c r="O63" s="28"/>
    </row>
    <row r="64" spans="9:15" s="3" customFormat="1" ht="12.75">
      <c r="I64" s="241"/>
      <c r="M64" s="29"/>
      <c r="N64" s="259"/>
      <c r="O64" s="28"/>
    </row>
    <row r="65" spans="9:15" s="3" customFormat="1" ht="12.75">
      <c r="I65" s="241"/>
      <c r="M65" s="29"/>
      <c r="N65" s="259"/>
      <c r="O65" s="28"/>
    </row>
    <row r="66" spans="3:15" s="3" customFormat="1" ht="12.75">
      <c r="C66" s="7"/>
      <c r="D66" s="7"/>
      <c r="I66" s="241"/>
      <c r="M66" s="29"/>
      <c r="N66" s="259"/>
      <c r="O66" s="28"/>
    </row>
    <row r="67" spans="9:15" s="3" customFormat="1" ht="12.75">
      <c r="I67" s="241"/>
      <c r="M67" s="28"/>
      <c r="N67" s="259"/>
      <c r="O67" s="28"/>
    </row>
    <row r="68" spans="9:15" s="3" customFormat="1" ht="12.75">
      <c r="I68" s="241"/>
      <c r="M68" s="28"/>
      <c r="N68" s="259"/>
      <c r="O68" s="28"/>
    </row>
    <row r="69" spans="13:15" ht="12.75">
      <c r="M69" s="28"/>
      <c r="N69" s="259"/>
      <c r="O69" s="28"/>
    </row>
    <row r="70" spans="13:15" ht="12.75">
      <c r="M70" s="30"/>
      <c r="N70" s="259"/>
      <c r="O70" s="28"/>
    </row>
    <row r="71" spans="13:15" ht="12.75">
      <c r="M71" s="30"/>
      <c r="N71" s="258"/>
      <c r="O71" s="28"/>
    </row>
    <row r="72" spans="13:15" ht="12.75">
      <c r="M72" s="28"/>
      <c r="N72" s="259"/>
      <c r="O72" s="28"/>
    </row>
    <row r="73" spans="13:15" ht="12.75">
      <c r="M73" s="28"/>
      <c r="N73" s="259"/>
      <c r="O73" s="28"/>
    </row>
    <row r="74" spans="13:15" ht="12.75">
      <c r="M74" s="28"/>
      <c r="N74" s="259"/>
      <c r="O74" s="28"/>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29.xml><?xml version="1.0" encoding="utf-8"?>
<worksheet xmlns="http://schemas.openxmlformats.org/spreadsheetml/2006/main" xmlns:r="http://schemas.openxmlformats.org/officeDocument/2006/relationships">
  <dimension ref="A1:AT31"/>
  <sheetViews>
    <sheetView zoomScalePageLayoutView="0" workbookViewId="0" topLeftCell="D7">
      <selection activeCell="O30" sqref="O30"/>
    </sheetView>
  </sheetViews>
  <sheetFormatPr defaultColWidth="9.140625" defaultRowHeight="12.75"/>
  <cols>
    <col min="1" max="1" width="3.00390625" style="0" customWidth="1"/>
    <col min="2" max="2" width="6.140625" style="0" customWidth="1"/>
    <col min="3" max="3" width="31.140625" style="0" customWidth="1"/>
    <col min="4" max="4" width="8.140625" style="0" customWidth="1"/>
    <col min="5" max="5" width="14.421875" style="0" customWidth="1"/>
    <col min="6" max="6" width="12.00390625" style="0" customWidth="1"/>
    <col min="7" max="7" width="10.28125" style="0" customWidth="1"/>
    <col min="8" max="8" width="22.7109375" style="0" customWidth="1"/>
    <col min="9" max="9" width="12.57421875" style="242" customWidth="1"/>
    <col min="10" max="10" width="11.421875" style="0" customWidth="1"/>
    <col min="11" max="11" width="11.28125" style="0" customWidth="1"/>
    <col min="12" max="12" width="11.57421875" style="0" customWidth="1"/>
    <col min="13" max="13" width="25.7109375" style="13" customWidth="1"/>
    <col min="14" max="14" width="9.140625" style="242" customWidth="1"/>
    <col min="16" max="16" width="4.57421875" style="0" customWidth="1"/>
    <col min="17" max="17" width="5.28125" style="0" customWidth="1"/>
    <col min="18" max="18" width="5.00390625" style="0" customWidth="1"/>
    <col min="19" max="19" width="8.421875" style="0" customWidth="1"/>
    <col min="21" max="21" width="17.574218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63.421875" style="0" customWidth="1"/>
  </cols>
  <sheetData>
    <row r="1" spans="1:14" ht="18">
      <c r="A1" s="1" t="s">
        <v>34</v>
      </c>
      <c r="I1" s="232"/>
      <c r="N1" s="232"/>
    </row>
    <row r="2" spans="1:14" ht="15">
      <c r="A2" s="54" t="s">
        <v>322</v>
      </c>
      <c r="I2" s="232"/>
      <c r="N2" s="232"/>
    </row>
    <row r="3" spans="3:28" s="5" customFormat="1" ht="12.75">
      <c r="C3" s="7"/>
      <c r="D3" s="7"/>
      <c r="E3" s="7"/>
      <c r="F3" s="7"/>
      <c r="G3" s="7"/>
      <c r="H3" s="7"/>
      <c r="I3" s="257"/>
      <c r="J3" s="7"/>
      <c r="K3" s="7"/>
      <c r="L3" s="7"/>
      <c r="M3" s="64"/>
      <c r="N3" s="257"/>
      <c r="O3" s="7"/>
      <c r="P3" s="65" t="s">
        <v>55</v>
      </c>
      <c r="Q3" s="65"/>
      <c r="R3" s="65"/>
      <c r="S3" s="65"/>
      <c r="T3" s="65"/>
      <c r="U3" s="65"/>
      <c r="V3" s="10" t="s">
        <v>54</v>
      </c>
      <c r="W3" s="103"/>
      <c r="X3" s="103"/>
      <c r="Y3" s="103"/>
      <c r="Z3" s="103"/>
      <c r="AA3" s="103"/>
      <c r="AB3" s="65"/>
    </row>
    <row r="4" spans="1:28" s="144" customFormat="1" ht="38.25">
      <c r="A4" s="144" t="s">
        <v>52</v>
      </c>
      <c r="B4" s="144" t="s">
        <v>50</v>
      </c>
      <c r="C4" s="134" t="s">
        <v>59</v>
      </c>
      <c r="D4" s="112" t="s">
        <v>159</v>
      </c>
      <c r="E4" s="134" t="s">
        <v>49</v>
      </c>
      <c r="F4" s="143" t="s">
        <v>35</v>
      </c>
      <c r="G4" s="112" t="s">
        <v>37</v>
      </c>
      <c r="H4" s="143" t="s">
        <v>35</v>
      </c>
      <c r="I4" s="247" t="s">
        <v>51</v>
      </c>
      <c r="J4" s="144" t="s">
        <v>35</v>
      </c>
      <c r="K4" s="84" t="s">
        <v>61</v>
      </c>
      <c r="L4" s="143" t="s">
        <v>35</v>
      </c>
      <c r="M4" s="146" t="s">
        <v>219</v>
      </c>
      <c r="N4" s="247" t="s">
        <v>94</v>
      </c>
      <c r="O4" s="143" t="s">
        <v>35</v>
      </c>
      <c r="P4" s="111" t="s">
        <v>38</v>
      </c>
      <c r="Q4" s="111" t="s">
        <v>39</v>
      </c>
      <c r="R4" s="111" t="s">
        <v>40</v>
      </c>
      <c r="S4" s="111" t="s">
        <v>41</v>
      </c>
      <c r="T4" s="112" t="s">
        <v>42</v>
      </c>
      <c r="U4" s="112" t="s">
        <v>237</v>
      </c>
      <c r="V4" s="56" t="s">
        <v>38</v>
      </c>
      <c r="W4" s="56" t="s">
        <v>39</v>
      </c>
      <c r="X4" s="56" t="s">
        <v>40</v>
      </c>
      <c r="Y4" s="56" t="s">
        <v>41</v>
      </c>
      <c r="Z4" s="57" t="s">
        <v>42</v>
      </c>
      <c r="AA4" s="57" t="s">
        <v>237</v>
      </c>
      <c r="AB4" s="111" t="s">
        <v>89</v>
      </c>
    </row>
    <row r="5" spans="1:28" s="129" customFormat="1" ht="25.5">
      <c r="A5" s="129" t="s">
        <v>202</v>
      </c>
      <c r="C5" s="134" t="s">
        <v>203</v>
      </c>
      <c r="D5" s="111"/>
      <c r="F5" s="128"/>
      <c r="G5" s="76"/>
      <c r="H5" s="128"/>
      <c r="I5" s="249"/>
      <c r="K5" s="113"/>
      <c r="L5" s="128"/>
      <c r="M5" s="135"/>
      <c r="N5" s="249"/>
      <c r="O5" s="128"/>
      <c r="P5" s="76"/>
      <c r="Q5" s="76"/>
      <c r="R5" s="76"/>
      <c r="S5" s="76"/>
      <c r="T5" s="76"/>
      <c r="U5" s="76"/>
      <c r="V5" s="58"/>
      <c r="W5" s="58"/>
      <c r="X5" s="58"/>
      <c r="Y5" s="58"/>
      <c r="Z5" s="58"/>
      <c r="AA5" s="58"/>
      <c r="AB5" s="76"/>
    </row>
    <row r="6" spans="2:28" ht="25.5">
      <c r="B6" s="3" t="s">
        <v>204</v>
      </c>
      <c r="C6" s="12" t="s">
        <v>205</v>
      </c>
      <c r="D6" s="111"/>
      <c r="F6" s="3"/>
      <c r="G6" s="76"/>
      <c r="H6" s="3"/>
      <c r="I6" s="249"/>
      <c r="K6" s="169"/>
      <c r="L6" s="3"/>
      <c r="M6" s="14"/>
      <c r="N6" s="249"/>
      <c r="O6" s="3"/>
      <c r="P6" s="76"/>
      <c r="Q6" s="76"/>
      <c r="R6" s="76"/>
      <c r="S6" s="76"/>
      <c r="T6" s="76"/>
      <c r="U6" s="76"/>
      <c r="V6" s="114">
        <f aca="true" t="shared" si="0" ref="V6:AA6">SUM(V7:V10)</f>
        <v>0</v>
      </c>
      <c r="W6" s="114">
        <f t="shared" si="0"/>
        <v>0</v>
      </c>
      <c r="X6" s="114">
        <f t="shared" si="0"/>
        <v>0</v>
      </c>
      <c r="Y6" s="114">
        <f t="shared" si="0"/>
        <v>0</v>
      </c>
      <c r="Z6" s="114">
        <f t="shared" si="0"/>
        <v>0</v>
      </c>
      <c r="AA6" s="114">
        <f t="shared" si="0"/>
        <v>0</v>
      </c>
      <c r="AB6" s="76"/>
    </row>
    <row r="7" spans="1:28" ht="12.75">
      <c r="A7" s="3"/>
      <c r="C7" s="9"/>
      <c r="D7" s="76"/>
      <c r="E7" s="6" t="s">
        <v>206</v>
      </c>
      <c r="F7" s="3" t="s">
        <v>348</v>
      </c>
      <c r="G7" s="76">
        <v>5</v>
      </c>
      <c r="H7" s="3" t="s">
        <v>348</v>
      </c>
      <c r="I7" s="262">
        <f>'Step5-Waste treatment+recycling'!C13</f>
        <v>0</v>
      </c>
      <c r="J7" s="3" t="s">
        <v>349</v>
      </c>
      <c r="K7" s="115">
        <f>G7*I7/1000</f>
        <v>0</v>
      </c>
      <c r="L7" s="3" t="s">
        <v>36</v>
      </c>
      <c r="M7" s="15" t="s">
        <v>210</v>
      </c>
      <c r="N7" s="250"/>
      <c r="O7" s="3" t="s">
        <v>36</v>
      </c>
      <c r="P7" s="203">
        <v>1</v>
      </c>
      <c r="Q7" s="203"/>
      <c r="R7" s="203"/>
      <c r="S7" s="203"/>
      <c r="T7" s="203"/>
      <c r="U7" s="203"/>
      <c r="V7" s="116">
        <f aca="true" t="shared" si="1" ref="V7:AA10">$N7*P7</f>
        <v>0</v>
      </c>
      <c r="W7" s="116">
        <f t="shared" si="1"/>
        <v>0</v>
      </c>
      <c r="X7" s="116">
        <f t="shared" si="1"/>
        <v>0</v>
      </c>
      <c r="Y7" s="116">
        <f t="shared" si="1"/>
        <v>0</v>
      </c>
      <c r="Z7" s="116">
        <f t="shared" si="1"/>
        <v>0</v>
      </c>
      <c r="AA7" s="116">
        <f t="shared" si="1"/>
        <v>0</v>
      </c>
      <c r="AB7" s="76"/>
    </row>
    <row r="8" spans="1:28" ht="25.5">
      <c r="A8" s="3"/>
      <c r="B8" s="3"/>
      <c r="C8" s="9"/>
      <c r="D8" s="76"/>
      <c r="E8" s="6"/>
      <c r="F8" s="3"/>
      <c r="G8" s="76"/>
      <c r="H8" s="3"/>
      <c r="I8" s="250"/>
      <c r="K8" s="115"/>
      <c r="L8" s="3"/>
      <c r="M8" s="15" t="s">
        <v>211</v>
      </c>
      <c r="N8" s="250">
        <f>K7</f>
        <v>0</v>
      </c>
      <c r="O8" s="3" t="s">
        <v>36</v>
      </c>
      <c r="P8" s="203">
        <v>0.9</v>
      </c>
      <c r="Q8" s="203"/>
      <c r="R8" s="203"/>
      <c r="S8" s="203"/>
      <c r="T8" s="203"/>
      <c r="U8" s="203">
        <v>0.1</v>
      </c>
      <c r="V8" s="116">
        <f t="shared" si="1"/>
        <v>0</v>
      </c>
      <c r="W8" s="116">
        <f t="shared" si="1"/>
        <v>0</v>
      </c>
      <c r="X8" s="116">
        <f t="shared" si="1"/>
        <v>0</v>
      </c>
      <c r="Y8" s="116">
        <f t="shared" si="1"/>
        <v>0</v>
      </c>
      <c r="Z8" s="116">
        <f t="shared" si="1"/>
        <v>0</v>
      </c>
      <c r="AA8" s="116">
        <f t="shared" si="1"/>
        <v>0</v>
      </c>
      <c r="AB8" s="76"/>
    </row>
    <row r="9" spans="1:28" ht="63.75">
      <c r="A9" s="3"/>
      <c r="B9" s="3"/>
      <c r="C9" s="9"/>
      <c r="D9" s="76"/>
      <c r="E9" s="6"/>
      <c r="F9" s="3"/>
      <c r="G9" s="76"/>
      <c r="H9" s="3"/>
      <c r="I9" s="250"/>
      <c r="K9" s="115"/>
      <c r="L9" s="3"/>
      <c r="M9" s="15" t="s">
        <v>207</v>
      </c>
      <c r="N9" s="250"/>
      <c r="O9" s="3" t="s">
        <v>36</v>
      </c>
      <c r="P9" s="203">
        <v>0.5</v>
      </c>
      <c r="Q9" s="203"/>
      <c r="R9" s="203"/>
      <c r="S9" s="203"/>
      <c r="T9" s="203"/>
      <c r="U9" s="203">
        <v>0.5</v>
      </c>
      <c r="V9" s="116">
        <f t="shared" si="1"/>
        <v>0</v>
      </c>
      <c r="W9" s="116">
        <f t="shared" si="1"/>
        <v>0</v>
      </c>
      <c r="X9" s="116">
        <f t="shared" si="1"/>
        <v>0</v>
      </c>
      <c r="Y9" s="116">
        <f t="shared" si="1"/>
        <v>0</v>
      </c>
      <c r="Z9" s="116">
        <f t="shared" si="1"/>
        <v>0</v>
      </c>
      <c r="AA9" s="116">
        <f t="shared" si="1"/>
        <v>0</v>
      </c>
      <c r="AB9" s="76"/>
    </row>
    <row r="10" spans="1:28" ht="25.5">
      <c r="A10" s="3"/>
      <c r="B10" s="3"/>
      <c r="C10" s="9"/>
      <c r="D10" s="76"/>
      <c r="E10" s="6"/>
      <c r="F10" s="3"/>
      <c r="G10" s="76"/>
      <c r="H10" s="3"/>
      <c r="I10" s="250"/>
      <c r="K10" s="115"/>
      <c r="L10" s="3"/>
      <c r="M10" s="15" t="s">
        <v>208</v>
      </c>
      <c r="N10" s="250"/>
      <c r="O10" s="3" t="s">
        <v>36</v>
      </c>
      <c r="P10" s="203">
        <v>0.1</v>
      </c>
      <c r="Q10" s="203"/>
      <c r="R10" s="203"/>
      <c r="S10" s="203"/>
      <c r="T10" s="203"/>
      <c r="U10" s="203">
        <v>0.9</v>
      </c>
      <c r="V10" s="116">
        <f t="shared" si="1"/>
        <v>0</v>
      </c>
      <c r="W10" s="116">
        <f t="shared" si="1"/>
        <v>0</v>
      </c>
      <c r="X10" s="116">
        <f t="shared" si="1"/>
        <v>0</v>
      </c>
      <c r="Y10" s="116">
        <f t="shared" si="1"/>
        <v>0</v>
      </c>
      <c r="Z10" s="116">
        <f t="shared" si="1"/>
        <v>0</v>
      </c>
      <c r="AA10" s="116">
        <f t="shared" si="1"/>
        <v>0</v>
      </c>
      <c r="AB10" s="76"/>
    </row>
    <row r="11" spans="1:28" s="55" customFormat="1" ht="12.75">
      <c r="A11" s="104"/>
      <c r="B11" s="104"/>
      <c r="C11" s="136"/>
      <c r="D11" s="111"/>
      <c r="E11" s="106"/>
      <c r="F11" s="104"/>
      <c r="G11" s="76"/>
      <c r="H11" s="104"/>
      <c r="I11" s="250"/>
      <c r="K11" s="115"/>
      <c r="L11" s="104"/>
      <c r="M11" s="107"/>
      <c r="N11" s="250"/>
      <c r="O11" s="104"/>
      <c r="P11" s="117"/>
      <c r="Q11" s="117"/>
      <c r="R11" s="118"/>
      <c r="S11" s="118"/>
      <c r="T11" s="117"/>
      <c r="U11" s="117"/>
      <c r="V11" s="116"/>
      <c r="W11" s="116"/>
      <c r="X11" s="116"/>
      <c r="Y11" s="116"/>
      <c r="Z11" s="116"/>
      <c r="AA11" s="116"/>
      <c r="AB11" s="76"/>
    </row>
    <row r="12" spans="2:28" ht="12.75">
      <c r="B12" s="3" t="s">
        <v>209</v>
      </c>
      <c r="C12" s="12" t="s">
        <v>212</v>
      </c>
      <c r="D12" s="111"/>
      <c r="F12" s="3"/>
      <c r="G12" s="76"/>
      <c r="H12" s="3"/>
      <c r="I12" s="249"/>
      <c r="K12" s="169"/>
      <c r="L12" s="3"/>
      <c r="M12" s="14"/>
      <c r="N12" s="249"/>
      <c r="O12" s="3"/>
      <c r="P12" s="76"/>
      <c r="Q12" s="76"/>
      <c r="R12" s="76"/>
      <c r="S12" s="76"/>
      <c r="T12" s="76"/>
      <c r="U12" s="76"/>
      <c r="V12" s="114">
        <f aca="true" t="shared" si="2" ref="V12:AA12">SUM(V13:V16)</f>
        <v>0</v>
      </c>
      <c r="W12" s="114">
        <f t="shared" si="2"/>
        <v>0</v>
      </c>
      <c r="X12" s="114">
        <f t="shared" si="2"/>
        <v>0</v>
      </c>
      <c r="Y12" s="114">
        <f t="shared" si="2"/>
        <v>0</v>
      </c>
      <c r="Z12" s="114">
        <f t="shared" si="2"/>
        <v>0</v>
      </c>
      <c r="AA12" s="114">
        <f t="shared" si="2"/>
        <v>0</v>
      </c>
      <c r="AB12" s="76"/>
    </row>
    <row r="13" spans="1:28" ht="12.75">
      <c r="A13" s="3"/>
      <c r="C13" s="9"/>
      <c r="D13" s="76"/>
      <c r="E13" s="18" t="s">
        <v>215</v>
      </c>
      <c r="F13" s="3" t="s">
        <v>348</v>
      </c>
      <c r="G13" s="76">
        <v>24</v>
      </c>
      <c r="H13" s="3" t="s">
        <v>348</v>
      </c>
      <c r="I13" s="262">
        <f>'Step5-Waste treatment+recycling'!C14</f>
        <v>0</v>
      </c>
      <c r="J13" s="3" t="s">
        <v>349</v>
      </c>
      <c r="K13" s="115">
        <f>G13*I13/1000</f>
        <v>0</v>
      </c>
      <c r="L13" s="3" t="s">
        <v>36</v>
      </c>
      <c r="M13" s="15" t="s">
        <v>210</v>
      </c>
      <c r="N13" s="250"/>
      <c r="O13" s="3" t="s">
        <v>36</v>
      </c>
      <c r="P13" s="203">
        <v>1</v>
      </c>
      <c r="Q13" s="203"/>
      <c r="R13" s="203"/>
      <c r="S13" s="203"/>
      <c r="T13" s="203"/>
      <c r="U13" s="203"/>
      <c r="V13" s="116">
        <f aca="true" t="shared" si="3" ref="V13:AA16">$N13*P13</f>
        <v>0</v>
      </c>
      <c r="W13" s="116">
        <f t="shared" si="3"/>
        <v>0</v>
      </c>
      <c r="X13" s="116">
        <f t="shared" si="3"/>
        <v>0</v>
      </c>
      <c r="Y13" s="116">
        <f t="shared" si="3"/>
        <v>0</v>
      </c>
      <c r="Z13" s="116">
        <f t="shared" si="3"/>
        <v>0</v>
      </c>
      <c r="AA13" s="116">
        <f t="shared" si="3"/>
        <v>0</v>
      </c>
      <c r="AB13" s="76"/>
    </row>
    <row r="14" spans="1:28" ht="25.5">
      <c r="A14" s="3"/>
      <c r="B14" s="3"/>
      <c r="C14" s="9"/>
      <c r="D14" s="76"/>
      <c r="E14" s="6"/>
      <c r="F14" s="3"/>
      <c r="G14" s="76"/>
      <c r="H14" s="3"/>
      <c r="I14" s="250"/>
      <c r="K14" s="115"/>
      <c r="L14" s="3"/>
      <c r="M14" s="15" t="s">
        <v>211</v>
      </c>
      <c r="N14" s="250">
        <f>K13</f>
        <v>0</v>
      </c>
      <c r="O14" s="3" t="s">
        <v>36</v>
      </c>
      <c r="P14" s="203">
        <v>0.9</v>
      </c>
      <c r="Q14" s="203"/>
      <c r="R14" s="203"/>
      <c r="S14" s="203"/>
      <c r="T14" s="203"/>
      <c r="U14" s="203">
        <v>0.1</v>
      </c>
      <c r="V14" s="116">
        <f t="shared" si="3"/>
        <v>0</v>
      </c>
      <c r="W14" s="116">
        <f t="shared" si="3"/>
        <v>0</v>
      </c>
      <c r="X14" s="116">
        <f t="shared" si="3"/>
        <v>0</v>
      </c>
      <c r="Y14" s="116">
        <f t="shared" si="3"/>
        <v>0</v>
      </c>
      <c r="Z14" s="116">
        <f t="shared" si="3"/>
        <v>0</v>
      </c>
      <c r="AA14" s="116">
        <f t="shared" si="3"/>
        <v>0</v>
      </c>
      <c r="AB14" s="76"/>
    </row>
    <row r="15" spans="1:28" ht="63.75">
      <c r="A15" s="3"/>
      <c r="B15" s="3"/>
      <c r="C15" s="9"/>
      <c r="D15" s="76"/>
      <c r="E15" s="6"/>
      <c r="F15" s="3"/>
      <c r="G15" s="76"/>
      <c r="H15" s="3"/>
      <c r="I15" s="250"/>
      <c r="K15" s="115"/>
      <c r="L15" s="3"/>
      <c r="M15" s="15" t="s">
        <v>207</v>
      </c>
      <c r="N15" s="250"/>
      <c r="O15" s="3" t="s">
        <v>36</v>
      </c>
      <c r="P15" s="203">
        <v>0.5</v>
      </c>
      <c r="Q15" s="203"/>
      <c r="R15" s="203"/>
      <c r="S15" s="203"/>
      <c r="T15" s="203"/>
      <c r="U15" s="203">
        <v>0.5</v>
      </c>
      <c r="V15" s="116">
        <f t="shared" si="3"/>
        <v>0</v>
      </c>
      <c r="W15" s="116">
        <f t="shared" si="3"/>
        <v>0</v>
      </c>
      <c r="X15" s="116">
        <f t="shared" si="3"/>
        <v>0</v>
      </c>
      <c r="Y15" s="116">
        <f t="shared" si="3"/>
        <v>0</v>
      </c>
      <c r="Z15" s="116">
        <f t="shared" si="3"/>
        <v>0</v>
      </c>
      <c r="AA15" s="116">
        <f t="shared" si="3"/>
        <v>0</v>
      </c>
      <c r="AB15" s="76"/>
    </row>
    <row r="16" spans="1:28" ht="25.5">
      <c r="A16" s="3"/>
      <c r="B16" s="3"/>
      <c r="C16" s="9"/>
      <c r="D16" s="76"/>
      <c r="E16" s="6"/>
      <c r="F16" s="3"/>
      <c r="G16" s="76"/>
      <c r="H16" s="3"/>
      <c r="I16" s="250"/>
      <c r="K16" s="115"/>
      <c r="L16" s="3"/>
      <c r="M16" s="15" t="s">
        <v>208</v>
      </c>
      <c r="N16" s="250"/>
      <c r="O16" s="3" t="s">
        <v>36</v>
      </c>
      <c r="P16" s="203">
        <v>0.1</v>
      </c>
      <c r="Q16" s="203"/>
      <c r="R16" s="203"/>
      <c r="S16" s="203"/>
      <c r="T16" s="203"/>
      <c r="U16" s="203">
        <v>0.9</v>
      </c>
      <c r="V16" s="116">
        <f t="shared" si="3"/>
        <v>0</v>
      </c>
      <c r="W16" s="116">
        <f t="shared" si="3"/>
        <v>0</v>
      </c>
      <c r="X16" s="116">
        <f t="shared" si="3"/>
        <v>0</v>
      </c>
      <c r="Y16" s="116">
        <f t="shared" si="3"/>
        <v>0</v>
      </c>
      <c r="Z16" s="116">
        <f t="shared" si="3"/>
        <v>0</v>
      </c>
      <c r="AA16" s="116">
        <f t="shared" si="3"/>
        <v>0</v>
      </c>
      <c r="AB16" s="76"/>
    </row>
    <row r="17" spans="1:28" s="55" customFormat="1" ht="12.75">
      <c r="A17" s="104"/>
      <c r="B17" s="104"/>
      <c r="C17" s="105"/>
      <c r="D17" s="76"/>
      <c r="E17" s="106"/>
      <c r="F17" s="104"/>
      <c r="G17" s="76"/>
      <c r="H17" s="104"/>
      <c r="I17" s="250"/>
      <c r="K17" s="115"/>
      <c r="L17" s="104"/>
      <c r="M17" s="107"/>
      <c r="N17" s="250"/>
      <c r="O17" s="104"/>
      <c r="P17" s="117"/>
      <c r="Q17" s="117"/>
      <c r="R17" s="118"/>
      <c r="S17" s="118"/>
      <c r="T17" s="117"/>
      <c r="U17" s="76"/>
      <c r="V17" s="116"/>
      <c r="W17" s="116"/>
      <c r="X17" s="116"/>
      <c r="Y17" s="116"/>
      <c r="Z17" s="116"/>
      <c r="AA17" s="116"/>
      <c r="AB17" s="76"/>
    </row>
    <row r="18" spans="2:28" ht="12.75">
      <c r="B18" s="3" t="s">
        <v>214</v>
      </c>
      <c r="C18" s="12" t="s">
        <v>213</v>
      </c>
      <c r="D18" s="111"/>
      <c r="F18" s="3"/>
      <c r="G18" s="76"/>
      <c r="H18" s="3"/>
      <c r="I18" s="249"/>
      <c r="K18" s="169"/>
      <c r="L18" s="3"/>
      <c r="M18" s="14"/>
      <c r="N18" s="249"/>
      <c r="O18" s="3"/>
      <c r="P18" s="76"/>
      <c r="Q18" s="76"/>
      <c r="R18" s="76"/>
      <c r="S18" s="76"/>
      <c r="T18" s="76"/>
      <c r="U18" s="76"/>
      <c r="V18" s="114">
        <f aca="true" t="shared" si="4" ref="V18:AA18">SUM(V19:V22)</f>
        <v>0</v>
      </c>
      <c r="W18" s="114">
        <f t="shared" si="4"/>
        <v>0</v>
      </c>
      <c r="X18" s="114">
        <f t="shared" si="4"/>
        <v>0</v>
      </c>
      <c r="Y18" s="114">
        <f t="shared" si="4"/>
        <v>0</v>
      </c>
      <c r="Z18" s="114">
        <f t="shared" si="4"/>
        <v>0</v>
      </c>
      <c r="AA18" s="114">
        <f t="shared" si="4"/>
        <v>0</v>
      </c>
      <c r="AB18" s="76"/>
    </row>
    <row r="19" spans="1:28" ht="12.75">
      <c r="A19" s="3"/>
      <c r="C19" s="9"/>
      <c r="D19" s="76"/>
      <c r="E19" s="6" t="s">
        <v>215</v>
      </c>
      <c r="F19" s="3" t="s">
        <v>348</v>
      </c>
      <c r="G19" s="76">
        <v>24</v>
      </c>
      <c r="H19" s="3" t="s">
        <v>348</v>
      </c>
      <c r="I19" s="262">
        <f>'Step5-Waste treatment+recycling'!C15</f>
        <v>0</v>
      </c>
      <c r="J19" s="3" t="s">
        <v>349</v>
      </c>
      <c r="K19" s="115">
        <f>G19*I19/1000</f>
        <v>0</v>
      </c>
      <c r="L19" s="3" t="s">
        <v>36</v>
      </c>
      <c r="M19" s="15" t="s">
        <v>210</v>
      </c>
      <c r="N19" s="250"/>
      <c r="O19" s="3" t="s">
        <v>36</v>
      </c>
      <c r="P19" s="203">
        <v>1</v>
      </c>
      <c r="Q19" s="203"/>
      <c r="R19" s="203"/>
      <c r="S19" s="203"/>
      <c r="T19" s="203"/>
      <c r="U19" s="203"/>
      <c r="V19" s="116">
        <f aca="true" t="shared" si="5" ref="V19:AA22">$N19*P19</f>
        <v>0</v>
      </c>
      <c r="W19" s="116">
        <f t="shared" si="5"/>
        <v>0</v>
      </c>
      <c r="X19" s="116">
        <f t="shared" si="5"/>
        <v>0</v>
      </c>
      <c r="Y19" s="116">
        <f t="shared" si="5"/>
        <v>0</v>
      </c>
      <c r="Z19" s="116">
        <f t="shared" si="5"/>
        <v>0</v>
      </c>
      <c r="AA19" s="116">
        <f t="shared" si="5"/>
        <v>0</v>
      </c>
      <c r="AB19" s="76"/>
    </row>
    <row r="20" spans="1:28" ht="25.5">
      <c r="A20" s="3"/>
      <c r="B20" s="3"/>
      <c r="C20" s="9"/>
      <c r="D20" s="76"/>
      <c r="E20" s="6"/>
      <c r="F20" s="3"/>
      <c r="G20" s="76"/>
      <c r="H20" s="3"/>
      <c r="I20" s="250"/>
      <c r="K20" s="115"/>
      <c r="L20" s="3"/>
      <c r="M20" s="15" t="s">
        <v>211</v>
      </c>
      <c r="N20" s="250">
        <f>K19</f>
        <v>0</v>
      </c>
      <c r="O20" s="3" t="s">
        <v>36</v>
      </c>
      <c r="P20" s="203">
        <v>0.9</v>
      </c>
      <c r="Q20" s="203"/>
      <c r="R20" s="203"/>
      <c r="S20" s="203"/>
      <c r="T20" s="203"/>
      <c r="U20" s="203">
        <v>0.1</v>
      </c>
      <c r="V20" s="116">
        <f t="shared" si="5"/>
        <v>0</v>
      </c>
      <c r="W20" s="116">
        <f t="shared" si="5"/>
        <v>0</v>
      </c>
      <c r="X20" s="116">
        <f t="shared" si="5"/>
        <v>0</v>
      </c>
      <c r="Y20" s="116">
        <f t="shared" si="5"/>
        <v>0</v>
      </c>
      <c r="Z20" s="116">
        <f t="shared" si="5"/>
        <v>0</v>
      </c>
      <c r="AA20" s="116">
        <f t="shared" si="5"/>
        <v>0</v>
      </c>
      <c r="AB20" s="76"/>
    </row>
    <row r="21" spans="1:28" ht="63.75">
      <c r="A21" s="3"/>
      <c r="B21" s="3"/>
      <c r="C21" s="9"/>
      <c r="D21" s="76"/>
      <c r="E21" s="6"/>
      <c r="F21" s="3"/>
      <c r="G21" s="76"/>
      <c r="H21" s="3"/>
      <c r="I21" s="250"/>
      <c r="K21" s="115"/>
      <c r="L21" s="3"/>
      <c r="M21" s="15" t="s">
        <v>207</v>
      </c>
      <c r="N21" s="250"/>
      <c r="O21" s="3" t="s">
        <v>36</v>
      </c>
      <c r="P21" s="203">
        <v>0.5</v>
      </c>
      <c r="Q21" s="203"/>
      <c r="R21" s="203"/>
      <c r="S21" s="203"/>
      <c r="T21" s="203"/>
      <c r="U21" s="203">
        <v>0.5</v>
      </c>
      <c r="V21" s="116">
        <f t="shared" si="5"/>
        <v>0</v>
      </c>
      <c r="W21" s="116">
        <f t="shared" si="5"/>
        <v>0</v>
      </c>
      <c r="X21" s="116">
        <f t="shared" si="5"/>
        <v>0</v>
      </c>
      <c r="Y21" s="116">
        <f t="shared" si="5"/>
        <v>0</v>
      </c>
      <c r="Z21" s="116">
        <f t="shared" si="5"/>
        <v>0</v>
      </c>
      <c r="AA21" s="116">
        <f t="shared" si="5"/>
        <v>0</v>
      </c>
      <c r="AB21" s="76"/>
    </row>
    <row r="22" spans="1:28" ht="25.5">
      <c r="A22" s="3"/>
      <c r="B22" s="3"/>
      <c r="C22" s="9"/>
      <c r="D22" s="76"/>
      <c r="E22" s="6"/>
      <c r="F22" s="3"/>
      <c r="G22" s="76"/>
      <c r="H22" s="3"/>
      <c r="I22" s="250"/>
      <c r="K22" s="115"/>
      <c r="L22" s="3"/>
      <c r="M22" s="15" t="s">
        <v>208</v>
      </c>
      <c r="N22" s="250"/>
      <c r="O22" s="3" t="s">
        <v>36</v>
      </c>
      <c r="P22" s="203">
        <v>0.1</v>
      </c>
      <c r="Q22" s="203"/>
      <c r="R22" s="203"/>
      <c r="S22" s="203"/>
      <c r="T22" s="203"/>
      <c r="U22" s="203">
        <v>0.9</v>
      </c>
      <c r="V22" s="116">
        <f t="shared" si="5"/>
        <v>0</v>
      </c>
      <c r="W22" s="116">
        <f t="shared" si="5"/>
        <v>0</v>
      </c>
      <c r="X22" s="116">
        <f t="shared" si="5"/>
        <v>0</v>
      </c>
      <c r="Y22" s="116">
        <f t="shared" si="5"/>
        <v>0</v>
      </c>
      <c r="Z22" s="116">
        <f t="shared" si="5"/>
        <v>0</v>
      </c>
      <c r="AA22" s="116">
        <f t="shared" si="5"/>
        <v>0</v>
      </c>
      <c r="AB22" s="76"/>
    </row>
    <row r="23" spans="1:28" s="55" customFormat="1" ht="12.75">
      <c r="A23" s="104"/>
      <c r="B23" s="104"/>
      <c r="C23" s="136"/>
      <c r="D23" s="76"/>
      <c r="E23" s="106"/>
      <c r="F23" s="104"/>
      <c r="G23" s="76"/>
      <c r="H23" s="104"/>
      <c r="I23" s="250"/>
      <c r="K23" s="115"/>
      <c r="L23" s="104"/>
      <c r="M23" s="107"/>
      <c r="N23" s="250"/>
      <c r="O23" s="104"/>
      <c r="P23" s="117"/>
      <c r="Q23" s="117"/>
      <c r="R23" s="118"/>
      <c r="S23" s="118"/>
      <c r="T23" s="117"/>
      <c r="U23" s="76"/>
      <c r="V23" s="116"/>
      <c r="W23" s="116"/>
      <c r="X23" s="116"/>
      <c r="Y23" s="116"/>
      <c r="Z23" s="116"/>
      <c r="AA23" s="116"/>
      <c r="AB23" s="76"/>
    </row>
    <row r="24" spans="1:28" ht="12.75">
      <c r="A24" s="3"/>
      <c r="B24" s="3" t="s">
        <v>216</v>
      </c>
      <c r="C24" s="12" t="s">
        <v>217</v>
      </c>
      <c r="D24" s="76"/>
      <c r="E24" t="s">
        <v>43</v>
      </c>
      <c r="F24" s="3" t="s">
        <v>43</v>
      </c>
      <c r="G24" s="76">
        <v>2</v>
      </c>
      <c r="H24" s="3" t="s">
        <v>474</v>
      </c>
      <c r="I24" s="250">
        <f>'Step5-Waste treatment+recycling'!C16</f>
        <v>0</v>
      </c>
      <c r="J24" s="3" t="s">
        <v>43</v>
      </c>
      <c r="K24" s="115">
        <f>G24*I24/1000</f>
        <v>0</v>
      </c>
      <c r="L24" s="3" t="s">
        <v>36</v>
      </c>
      <c r="M24" s="15"/>
      <c r="N24" s="250">
        <f>K24</f>
        <v>0</v>
      </c>
      <c r="O24" s="3" t="s">
        <v>36</v>
      </c>
      <c r="P24" s="203">
        <v>0.9</v>
      </c>
      <c r="Q24" s="203"/>
      <c r="R24" s="203"/>
      <c r="S24" s="203"/>
      <c r="T24" s="203"/>
      <c r="U24" s="203">
        <v>0.1</v>
      </c>
      <c r="V24" s="114">
        <f aca="true" t="shared" si="6" ref="V24:AA24">$N24*P24</f>
        <v>0</v>
      </c>
      <c r="W24" s="114">
        <f t="shared" si="6"/>
        <v>0</v>
      </c>
      <c r="X24" s="114">
        <f t="shared" si="6"/>
        <v>0</v>
      </c>
      <c r="Y24" s="114">
        <f t="shared" si="6"/>
        <v>0</v>
      </c>
      <c r="Z24" s="114">
        <f t="shared" si="6"/>
        <v>0</v>
      </c>
      <c r="AA24" s="114">
        <f t="shared" si="6"/>
        <v>0</v>
      </c>
      <c r="AB24" s="76"/>
    </row>
    <row r="25" spans="1:28" s="55" customFormat="1" ht="12.75">
      <c r="A25" s="104"/>
      <c r="B25" s="104"/>
      <c r="C25" s="136"/>
      <c r="D25" s="111"/>
      <c r="E25" s="149"/>
      <c r="F25" s="104"/>
      <c r="G25" s="76"/>
      <c r="H25" s="104"/>
      <c r="I25" s="250"/>
      <c r="K25" s="173"/>
      <c r="L25" s="104"/>
      <c r="M25" s="138"/>
      <c r="N25" s="250"/>
      <c r="O25" s="104"/>
      <c r="P25" s="117"/>
      <c r="Q25" s="117"/>
      <c r="R25" s="118"/>
      <c r="S25" s="118"/>
      <c r="T25" s="117"/>
      <c r="U25" s="76"/>
      <c r="V25" s="116"/>
      <c r="W25" s="116"/>
      <c r="X25" s="116"/>
      <c r="Y25" s="116"/>
      <c r="Z25" s="116"/>
      <c r="AA25" s="116"/>
      <c r="AB25" s="76"/>
    </row>
    <row r="26" spans="1:28" ht="12.75">
      <c r="A26" s="3"/>
      <c r="B26" s="3" t="s">
        <v>218</v>
      </c>
      <c r="C26" s="12" t="s">
        <v>428</v>
      </c>
      <c r="D26" s="111"/>
      <c r="E26" s="6" t="s">
        <v>206</v>
      </c>
      <c r="F26" s="3" t="s">
        <v>348</v>
      </c>
      <c r="G26" s="76">
        <v>5</v>
      </c>
      <c r="H26" s="3" t="s">
        <v>348</v>
      </c>
      <c r="I26" s="262">
        <f>'Step5-Waste treatment+recycling'!C17</f>
        <v>0</v>
      </c>
      <c r="J26" s="3" t="s">
        <v>349</v>
      </c>
      <c r="K26" s="115">
        <f>G26*I26/1000</f>
        <v>0</v>
      </c>
      <c r="L26" s="3" t="s">
        <v>36</v>
      </c>
      <c r="M26" s="15"/>
      <c r="N26" s="250">
        <f>K26</f>
        <v>0</v>
      </c>
      <c r="O26" s="3" t="s">
        <v>36</v>
      </c>
      <c r="P26" s="203">
        <v>1</v>
      </c>
      <c r="Q26" s="203"/>
      <c r="R26" s="203"/>
      <c r="S26" s="203"/>
      <c r="T26" s="203"/>
      <c r="U26" s="203"/>
      <c r="V26" s="114">
        <f aca="true" t="shared" si="7" ref="V26:AA26">$N26*P26</f>
        <v>0</v>
      </c>
      <c r="W26" s="114">
        <f t="shared" si="7"/>
        <v>0</v>
      </c>
      <c r="X26" s="114">
        <f t="shared" si="7"/>
        <v>0</v>
      </c>
      <c r="Y26" s="114">
        <f t="shared" si="7"/>
        <v>0</v>
      </c>
      <c r="Z26" s="114">
        <f t="shared" si="7"/>
        <v>0</v>
      </c>
      <c r="AA26" s="114">
        <f t="shared" si="7"/>
        <v>0</v>
      </c>
      <c r="AB26" s="76"/>
    </row>
    <row r="27" spans="3:28" s="55" customFormat="1" ht="12.75">
      <c r="C27" s="187"/>
      <c r="D27" s="111"/>
      <c r="G27" s="76"/>
      <c r="I27" s="250"/>
      <c r="K27" s="58"/>
      <c r="M27" s="110"/>
      <c r="N27" s="250"/>
      <c r="O27" s="104"/>
      <c r="P27" s="76"/>
      <c r="Q27" s="76"/>
      <c r="R27" s="76"/>
      <c r="S27" s="76"/>
      <c r="T27" s="76"/>
      <c r="U27" s="76"/>
      <c r="V27" s="58"/>
      <c r="W27" s="58"/>
      <c r="X27" s="58"/>
      <c r="Y27" s="58"/>
      <c r="Z27" s="58"/>
      <c r="AA27" s="58"/>
      <c r="AB27" s="76"/>
    </row>
    <row r="28" spans="4:46" ht="12.75">
      <c r="D28" s="3"/>
      <c r="E28" s="3"/>
      <c r="F28" s="3"/>
      <c r="G28" s="3"/>
      <c r="H28" s="3"/>
      <c r="I28" s="241"/>
      <c r="J28" s="3"/>
      <c r="K28" s="3"/>
      <c r="L28" s="3"/>
      <c r="M28" s="63"/>
      <c r="N28" s="241"/>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3:15" ht="12.75">
      <c r="M29" s="14"/>
      <c r="N29" s="241"/>
      <c r="O29" s="3"/>
    </row>
    <row r="30" spans="13:15" ht="12.75">
      <c r="M30" s="14"/>
      <c r="N30" s="251"/>
      <c r="O30" s="3"/>
    </row>
    <row r="31" spans="3:4" ht="12.75">
      <c r="C31" s="5"/>
      <c r="D31" s="5"/>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3.xml><?xml version="1.0" encoding="utf-8"?>
<worksheet xmlns="http://schemas.openxmlformats.org/spreadsheetml/2006/main" xmlns:r="http://schemas.openxmlformats.org/officeDocument/2006/relationships">
  <dimension ref="A1:AB76"/>
  <sheetViews>
    <sheetView zoomScale="80" zoomScaleNormal="80" zoomScalePageLayoutView="0" workbookViewId="0" topLeftCell="A16">
      <selection activeCell="J35" sqref="J35"/>
    </sheetView>
  </sheetViews>
  <sheetFormatPr defaultColWidth="9.140625" defaultRowHeight="12.75"/>
  <cols>
    <col min="1" max="1" width="3.00390625" style="0" customWidth="1"/>
    <col min="2" max="2" width="6.140625" style="0" customWidth="1"/>
    <col min="3" max="3" width="29.57421875" style="0" customWidth="1"/>
    <col min="4" max="4" width="7.28125" style="0" customWidth="1"/>
    <col min="5" max="5" width="16.28125" style="0" customWidth="1"/>
    <col min="6" max="6" width="10.421875" style="0" customWidth="1"/>
    <col min="7" max="7" width="10.28125" style="0" customWidth="1"/>
    <col min="8" max="8" width="17.421875" style="0" customWidth="1"/>
    <col min="9" max="9" width="14.140625" style="242" customWidth="1"/>
    <col min="10" max="10" width="25.8515625" style="0" customWidth="1"/>
    <col min="11" max="11" width="11.28125" style="242" customWidth="1"/>
    <col min="12" max="12" width="11.57421875" style="0" customWidth="1"/>
    <col min="13" max="13" width="28.140625" style="13" customWidth="1"/>
    <col min="14" max="14" width="9.140625" style="242" customWidth="1"/>
    <col min="16" max="16" width="5.7109375" style="0" customWidth="1"/>
    <col min="17" max="17" width="7.421875" style="0" customWidth="1"/>
    <col min="18" max="18" width="5.00390625" style="0" customWidth="1"/>
    <col min="19" max="19" width="8.421875" style="0" customWidth="1"/>
    <col min="21" max="21" width="17.574218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63.421875" style="0" customWidth="1"/>
  </cols>
  <sheetData>
    <row r="1" spans="1:14" ht="18">
      <c r="A1" s="1" t="s">
        <v>34</v>
      </c>
      <c r="I1" s="232"/>
      <c r="K1" s="232"/>
      <c r="L1" s="48"/>
      <c r="M1" s="48"/>
      <c r="N1" s="232"/>
    </row>
    <row r="2" spans="1:21" ht="15">
      <c r="A2" s="54" t="s">
        <v>322</v>
      </c>
      <c r="I2" s="232"/>
      <c r="K2" s="232"/>
      <c r="L2" s="48"/>
      <c r="M2" s="48"/>
      <c r="N2" s="232"/>
      <c r="U2" s="48"/>
    </row>
    <row r="3" spans="3:28" ht="12.75">
      <c r="C3" s="102"/>
      <c r="D3" s="3"/>
      <c r="E3" s="3"/>
      <c r="F3" s="3"/>
      <c r="G3" s="3"/>
      <c r="H3" s="3"/>
      <c r="I3" s="233"/>
      <c r="J3" s="3"/>
      <c r="K3" s="233"/>
      <c r="L3" s="55"/>
      <c r="M3" s="55"/>
      <c r="N3" s="233"/>
      <c r="O3" s="3"/>
      <c r="P3" s="94" t="s">
        <v>55</v>
      </c>
      <c r="Q3" s="49"/>
      <c r="R3" s="49"/>
      <c r="S3" s="49"/>
      <c r="T3" s="49"/>
      <c r="U3" s="49"/>
      <c r="V3" s="10" t="s">
        <v>54</v>
      </c>
      <c r="W3" s="4"/>
      <c r="X3" s="4"/>
      <c r="Y3" s="4"/>
      <c r="Z3" s="4"/>
      <c r="AA3" s="4"/>
      <c r="AB3" s="2"/>
    </row>
    <row r="4" spans="1:28" s="123" customFormat="1" ht="38.25">
      <c r="A4" s="123" t="s">
        <v>52</v>
      </c>
      <c r="B4" s="123" t="s">
        <v>50</v>
      </c>
      <c r="C4" s="124" t="s">
        <v>59</v>
      </c>
      <c r="D4" s="112" t="s">
        <v>159</v>
      </c>
      <c r="E4" s="124" t="s">
        <v>49</v>
      </c>
      <c r="F4" s="125" t="s">
        <v>35</v>
      </c>
      <c r="G4" s="112" t="s">
        <v>37</v>
      </c>
      <c r="H4" s="125" t="s">
        <v>35</v>
      </c>
      <c r="I4" s="247" t="s">
        <v>51</v>
      </c>
      <c r="J4" s="123" t="s">
        <v>35</v>
      </c>
      <c r="K4" s="243" t="s">
        <v>61</v>
      </c>
      <c r="L4" s="154" t="s">
        <v>35</v>
      </c>
      <c r="M4" s="155" t="s">
        <v>219</v>
      </c>
      <c r="N4" s="247" t="s">
        <v>94</v>
      </c>
      <c r="O4" s="125" t="s">
        <v>35</v>
      </c>
      <c r="P4" s="111" t="s">
        <v>38</v>
      </c>
      <c r="Q4" s="111" t="s">
        <v>39</v>
      </c>
      <c r="R4" s="111" t="s">
        <v>40</v>
      </c>
      <c r="S4" s="111" t="s">
        <v>41</v>
      </c>
      <c r="T4" s="112" t="s">
        <v>42</v>
      </c>
      <c r="U4" s="112" t="s">
        <v>53</v>
      </c>
      <c r="V4" s="56" t="s">
        <v>38</v>
      </c>
      <c r="W4" s="56" t="s">
        <v>39</v>
      </c>
      <c r="X4" s="56" t="s">
        <v>40</v>
      </c>
      <c r="Y4" s="56" t="s">
        <v>41</v>
      </c>
      <c r="Z4" s="57" t="s">
        <v>42</v>
      </c>
      <c r="AA4" s="57" t="s">
        <v>237</v>
      </c>
      <c r="AB4" s="111" t="s">
        <v>89</v>
      </c>
    </row>
    <row r="5" spans="1:28" ht="38.25">
      <c r="A5" t="s">
        <v>46</v>
      </c>
      <c r="C5" s="12" t="s">
        <v>44</v>
      </c>
      <c r="D5" s="120"/>
      <c r="F5" s="3"/>
      <c r="G5" s="119"/>
      <c r="H5" s="3"/>
      <c r="I5" s="252"/>
      <c r="K5" s="234"/>
      <c r="L5" s="3"/>
      <c r="M5" s="14"/>
      <c r="N5" s="248"/>
      <c r="O5" s="3"/>
      <c r="P5" s="119"/>
      <c r="Q5" s="119"/>
      <c r="R5" s="119"/>
      <c r="S5" s="119"/>
      <c r="T5" s="119"/>
      <c r="U5" s="119"/>
      <c r="V5" s="122"/>
      <c r="W5" s="122"/>
      <c r="X5" s="122"/>
      <c r="Y5" s="122"/>
      <c r="Z5" s="122"/>
      <c r="AA5" s="122"/>
      <c r="AB5" s="119"/>
    </row>
    <row r="6" spans="2:28" ht="25.5">
      <c r="B6" t="s">
        <v>45</v>
      </c>
      <c r="C6" s="12" t="s">
        <v>47</v>
      </c>
      <c r="D6" s="111"/>
      <c r="G6" s="76"/>
      <c r="I6" s="249"/>
      <c r="K6" s="235"/>
      <c r="L6" s="3"/>
      <c r="M6" s="14"/>
      <c r="N6" s="249"/>
      <c r="O6" s="3"/>
      <c r="P6" s="76"/>
      <c r="Q6" s="76"/>
      <c r="R6" s="76"/>
      <c r="S6" s="76"/>
      <c r="T6" s="76"/>
      <c r="U6" s="76"/>
      <c r="V6" s="114">
        <f>SUM(V7:V12)</f>
        <v>0</v>
      </c>
      <c r="W6" s="114">
        <f>SUM(W7:W12)</f>
        <v>0</v>
      </c>
      <c r="X6" s="114">
        <f>SUM(X7:X12)</f>
        <v>0</v>
      </c>
      <c r="Y6" s="114">
        <f>SUM(Y7:Y12)-Y7</f>
        <v>0</v>
      </c>
      <c r="Z6" s="114">
        <f>SUM(Z7:Z12)</f>
        <v>0</v>
      </c>
      <c r="AA6" s="114">
        <f>SUM(AA7:AA12)</f>
        <v>0</v>
      </c>
      <c r="AB6" s="76"/>
    </row>
    <row r="7" spans="3:28" ht="12.75">
      <c r="C7" s="12" t="s">
        <v>60</v>
      </c>
      <c r="D7" s="111"/>
      <c r="E7" s="6" t="s">
        <v>48</v>
      </c>
      <c r="F7" s="3" t="s">
        <v>354</v>
      </c>
      <c r="G7" s="76">
        <v>0.15</v>
      </c>
      <c r="H7" s="3" t="s">
        <v>354</v>
      </c>
      <c r="I7" s="250"/>
      <c r="J7" t="s">
        <v>334</v>
      </c>
      <c r="K7" s="240">
        <f>G7*I7/1000</f>
        <v>0</v>
      </c>
      <c r="L7" s="3" t="s">
        <v>36</v>
      </c>
      <c r="M7" s="32"/>
      <c r="N7" s="250"/>
      <c r="O7" s="3" t="s">
        <v>36</v>
      </c>
      <c r="P7" s="76"/>
      <c r="Q7" s="76">
        <v>0.01</v>
      </c>
      <c r="R7" s="76"/>
      <c r="S7" s="76">
        <v>0.8</v>
      </c>
      <c r="T7" s="76">
        <v>0.19</v>
      </c>
      <c r="U7" s="76"/>
      <c r="V7" s="116">
        <f aca="true" t="shared" si="0" ref="V7:AA12">$N7*P7</f>
        <v>0</v>
      </c>
      <c r="W7" s="116">
        <f t="shared" si="0"/>
        <v>0</v>
      </c>
      <c r="X7" s="116">
        <f t="shared" si="0"/>
        <v>0</v>
      </c>
      <c r="Y7" s="116">
        <f t="shared" si="0"/>
        <v>0</v>
      </c>
      <c r="Z7" s="116">
        <f t="shared" si="0"/>
        <v>0</v>
      </c>
      <c r="AA7" s="116">
        <f t="shared" si="0"/>
        <v>0</v>
      </c>
      <c r="AB7" s="76"/>
    </row>
    <row r="8" spans="3:28" ht="51">
      <c r="C8" s="12" t="s">
        <v>962</v>
      </c>
      <c r="D8" s="111"/>
      <c r="E8" s="6" t="s">
        <v>58</v>
      </c>
      <c r="F8" s="3" t="s">
        <v>354</v>
      </c>
      <c r="G8" s="76">
        <v>0.15</v>
      </c>
      <c r="H8" s="3" t="s">
        <v>354</v>
      </c>
      <c r="I8" s="250">
        <f>'Step2-Energy'!C5</f>
        <v>0</v>
      </c>
      <c r="J8" t="s">
        <v>334</v>
      </c>
      <c r="K8" s="236">
        <f>G8*I8/1000</f>
        <v>0</v>
      </c>
      <c r="L8" s="3" t="s">
        <v>66</v>
      </c>
      <c r="M8" s="33"/>
      <c r="N8" s="250"/>
      <c r="O8" s="3"/>
      <c r="P8" s="76"/>
      <c r="Q8" s="76"/>
      <c r="R8" s="76"/>
      <c r="S8" s="76"/>
      <c r="T8" s="76"/>
      <c r="U8" s="76"/>
      <c r="V8" s="116">
        <f t="shared" si="0"/>
        <v>0</v>
      </c>
      <c r="W8" s="116">
        <f t="shared" si="0"/>
        <v>0</v>
      </c>
      <c r="X8" s="116">
        <f t="shared" si="0"/>
        <v>0</v>
      </c>
      <c r="Y8" s="116">
        <f t="shared" si="0"/>
        <v>0</v>
      </c>
      <c r="Z8" s="116">
        <f t="shared" si="0"/>
        <v>0</v>
      </c>
      <c r="AA8" s="116">
        <f t="shared" si="0"/>
        <v>0</v>
      </c>
      <c r="AB8" s="76"/>
    </row>
    <row r="9" spans="3:28" ht="89.25">
      <c r="C9" s="9"/>
      <c r="D9" s="76"/>
      <c r="E9" s="6"/>
      <c r="F9" s="3"/>
      <c r="G9" s="76"/>
      <c r="H9" s="3"/>
      <c r="I9" s="250"/>
      <c r="K9" s="236"/>
      <c r="L9" s="3"/>
      <c r="M9" s="53" t="s">
        <v>963</v>
      </c>
      <c r="N9" s="250">
        <f>K8</f>
        <v>0</v>
      </c>
      <c r="O9" s="3" t="s">
        <v>36</v>
      </c>
      <c r="P9" s="76">
        <v>0.88</v>
      </c>
      <c r="Q9" s="117"/>
      <c r="R9" s="118"/>
      <c r="S9" s="118"/>
      <c r="T9" s="117"/>
      <c r="U9" s="76">
        <v>0.12</v>
      </c>
      <c r="V9" s="116">
        <f t="shared" si="0"/>
        <v>0</v>
      </c>
      <c r="W9" s="116">
        <f t="shared" si="0"/>
        <v>0</v>
      </c>
      <c r="X9" s="116">
        <f t="shared" si="0"/>
        <v>0</v>
      </c>
      <c r="Y9" s="116">
        <f t="shared" si="0"/>
        <v>0</v>
      </c>
      <c r="Z9" s="116">
        <f t="shared" si="0"/>
        <v>0</v>
      </c>
      <c r="AA9" s="116">
        <f t="shared" si="0"/>
        <v>0</v>
      </c>
      <c r="AB9" s="76"/>
    </row>
    <row r="10" spans="3:28" ht="12.75">
      <c r="C10" s="9"/>
      <c r="D10" s="76"/>
      <c r="E10" s="6"/>
      <c r="F10" s="3"/>
      <c r="G10" s="76"/>
      <c r="H10" s="3"/>
      <c r="I10" s="250"/>
      <c r="K10" s="236"/>
      <c r="L10" s="3"/>
      <c r="M10" s="33"/>
      <c r="N10" s="250"/>
      <c r="O10" s="3"/>
      <c r="P10" s="117"/>
      <c r="Q10" s="117"/>
      <c r="R10" s="118"/>
      <c r="S10" s="118"/>
      <c r="T10" s="117"/>
      <c r="U10" s="76"/>
      <c r="V10" s="116">
        <f t="shared" si="0"/>
        <v>0</v>
      </c>
      <c r="W10" s="116">
        <f t="shared" si="0"/>
        <v>0</v>
      </c>
      <c r="X10" s="116">
        <f t="shared" si="0"/>
        <v>0</v>
      </c>
      <c r="Y10" s="116">
        <f t="shared" si="0"/>
        <v>0</v>
      </c>
      <c r="Z10" s="116">
        <f t="shared" si="0"/>
        <v>0</v>
      </c>
      <c r="AA10" s="116">
        <f t="shared" si="0"/>
        <v>0</v>
      </c>
      <c r="AB10" s="76"/>
    </row>
    <row r="11" spans="3:28" ht="12.75">
      <c r="C11" s="9"/>
      <c r="D11" s="76"/>
      <c r="E11" s="6"/>
      <c r="F11" s="3"/>
      <c r="G11" s="76"/>
      <c r="H11" s="3"/>
      <c r="I11" s="250"/>
      <c r="K11" s="236"/>
      <c r="L11" s="3"/>
      <c r="M11" s="33"/>
      <c r="N11" s="250"/>
      <c r="O11" s="3"/>
      <c r="P11" s="117"/>
      <c r="Q11" s="117"/>
      <c r="R11" s="118"/>
      <c r="S11" s="118"/>
      <c r="T11" s="117"/>
      <c r="U11" s="76"/>
      <c r="V11" s="116">
        <f t="shared" si="0"/>
        <v>0</v>
      </c>
      <c r="W11" s="116">
        <f t="shared" si="0"/>
        <v>0</v>
      </c>
      <c r="X11" s="116">
        <f t="shared" si="0"/>
        <v>0</v>
      </c>
      <c r="Y11" s="116">
        <f t="shared" si="0"/>
        <v>0</v>
      </c>
      <c r="Z11" s="116">
        <f t="shared" si="0"/>
        <v>0</v>
      </c>
      <c r="AA11" s="116">
        <f t="shared" si="0"/>
        <v>0</v>
      </c>
      <c r="AB11" s="76"/>
    </row>
    <row r="12" spans="3:28" ht="12.75">
      <c r="C12" s="9"/>
      <c r="D12" s="76"/>
      <c r="E12" s="6"/>
      <c r="F12" s="3"/>
      <c r="G12" s="76"/>
      <c r="H12" s="3"/>
      <c r="I12" s="250"/>
      <c r="K12" s="236"/>
      <c r="L12" s="3"/>
      <c r="M12" s="33"/>
      <c r="N12" s="250"/>
      <c r="O12" s="3"/>
      <c r="P12" s="117"/>
      <c r="Q12" s="117"/>
      <c r="R12" s="118"/>
      <c r="S12" s="118"/>
      <c r="T12" s="117"/>
      <c r="U12" s="76"/>
      <c r="V12" s="116">
        <f t="shared" si="0"/>
        <v>0</v>
      </c>
      <c r="W12" s="116">
        <f t="shared" si="0"/>
        <v>0</v>
      </c>
      <c r="X12" s="116">
        <f t="shared" si="0"/>
        <v>0</v>
      </c>
      <c r="Y12" s="116">
        <f t="shared" si="0"/>
        <v>0</v>
      </c>
      <c r="Z12" s="116">
        <f t="shared" si="0"/>
        <v>0</v>
      </c>
      <c r="AA12" s="116">
        <f t="shared" si="0"/>
        <v>0</v>
      </c>
      <c r="AB12" s="76"/>
    </row>
    <row r="13" spans="3:28" ht="12.75">
      <c r="C13" s="9"/>
      <c r="D13" s="76"/>
      <c r="G13" s="76"/>
      <c r="I13" s="249"/>
      <c r="K13" s="236"/>
      <c r="M13" s="15"/>
      <c r="N13" s="250"/>
      <c r="O13" s="3"/>
      <c r="P13" s="76"/>
      <c r="Q13" s="76"/>
      <c r="R13" s="76"/>
      <c r="S13" s="76"/>
      <c r="T13" s="76"/>
      <c r="U13" s="76"/>
      <c r="V13" s="58"/>
      <c r="W13" s="58"/>
      <c r="X13" s="58"/>
      <c r="Y13" s="58"/>
      <c r="Z13" s="58"/>
      <c r="AA13" s="58"/>
      <c r="AB13" s="76"/>
    </row>
    <row r="14" spans="1:28" s="91" customFormat="1" ht="12.75">
      <c r="A14" s="88"/>
      <c r="B14" s="88" t="s">
        <v>62</v>
      </c>
      <c r="C14" s="89" t="s">
        <v>63</v>
      </c>
      <c r="D14" s="111"/>
      <c r="E14" s="88"/>
      <c r="F14" s="88"/>
      <c r="G14" s="76"/>
      <c r="H14" s="88"/>
      <c r="I14" s="249"/>
      <c r="J14" s="88"/>
      <c r="K14" s="371"/>
      <c r="L14" s="88"/>
      <c r="M14" s="90"/>
      <c r="N14" s="250"/>
      <c r="O14" s="88"/>
      <c r="P14" s="76"/>
      <c r="Q14" s="76"/>
      <c r="R14" s="76"/>
      <c r="S14" s="76"/>
      <c r="T14" s="76"/>
      <c r="U14" s="76"/>
      <c r="V14" s="114">
        <f>SUM(V15:V22)</f>
        <v>0</v>
      </c>
      <c r="W14" s="114">
        <f>SUM(W15:W22)</f>
        <v>0</v>
      </c>
      <c r="X14" s="114">
        <f>SUM(X15:X22)</f>
        <v>0</v>
      </c>
      <c r="Y14" s="114">
        <f>SUM(Y15:Y22)-Y17</f>
        <v>0</v>
      </c>
      <c r="Z14" s="114">
        <f>SUM(Z15:Z22)</f>
        <v>0</v>
      </c>
      <c r="AA14" s="114">
        <f>SUM(AA15:AA22)</f>
        <v>0</v>
      </c>
      <c r="AB14" s="76"/>
    </row>
    <row r="15" spans="1:28" s="48" customFormat="1" ht="12.75">
      <c r="A15" s="92"/>
      <c r="B15" s="28"/>
      <c r="C15" s="93" t="s">
        <v>64</v>
      </c>
      <c r="D15" s="111"/>
      <c r="E15" s="95" t="s">
        <v>48</v>
      </c>
      <c r="F15" s="28" t="s">
        <v>354</v>
      </c>
      <c r="G15" s="76">
        <v>0.15</v>
      </c>
      <c r="H15" s="28" t="s">
        <v>354</v>
      </c>
      <c r="I15" s="250"/>
      <c r="J15" s="48" t="s">
        <v>334</v>
      </c>
      <c r="K15" s="236">
        <f>G15*I15/1000</f>
        <v>0</v>
      </c>
      <c r="L15" s="101" t="s">
        <v>36</v>
      </c>
      <c r="M15" s="96"/>
      <c r="N15" s="250"/>
      <c r="O15" s="28"/>
      <c r="P15" s="76"/>
      <c r="Q15" s="76"/>
      <c r="R15" s="76"/>
      <c r="S15" s="76"/>
      <c r="T15" s="76"/>
      <c r="U15" s="76"/>
      <c r="V15" s="116">
        <f aca="true" t="shared" si="1" ref="V15:AA15">$N15*P15</f>
        <v>0</v>
      </c>
      <c r="W15" s="116">
        <f t="shared" si="1"/>
        <v>0</v>
      </c>
      <c r="X15" s="116">
        <f t="shared" si="1"/>
        <v>0</v>
      </c>
      <c r="Y15" s="116">
        <f t="shared" si="1"/>
        <v>0</v>
      </c>
      <c r="Z15" s="116">
        <f t="shared" si="1"/>
        <v>0</v>
      </c>
      <c r="AA15" s="116">
        <f t="shared" si="1"/>
        <v>0</v>
      </c>
      <c r="AB15" s="76"/>
    </row>
    <row r="16" spans="1:28" ht="12.75">
      <c r="A16" s="3"/>
      <c r="B16" s="3"/>
      <c r="C16" s="26" t="s">
        <v>65</v>
      </c>
      <c r="D16" s="111"/>
      <c r="E16" s="3"/>
      <c r="F16" s="3"/>
      <c r="G16" s="76"/>
      <c r="H16" s="3"/>
      <c r="I16" s="249"/>
      <c r="J16" s="3"/>
      <c r="K16" s="236"/>
      <c r="M16" s="32"/>
      <c r="N16" s="250"/>
      <c r="O16" s="3"/>
      <c r="P16" s="76"/>
      <c r="Q16" s="76"/>
      <c r="R16" s="76"/>
      <c r="S16" s="76"/>
      <c r="T16" s="76"/>
      <c r="U16" s="76"/>
      <c r="V16" s="116">
        <f aca="true" t="shared" si="2" ref="V16:V22">$N16*P16</f>
        <v>0</v>
      </c>
      <c r="W16" s="116">
        <f aca="true" t="shared" si="3" ref="W16:W22">$N16*Q16</f>
        <v>0</v>
      </c>
      <c r="X16" s="116">
        <f aca="true" t="shared" si="4" ref="X16:X22">$N16*R16</f>
        <v>0</v>
      </c>
      <c r="Y16" s="116">
        <f aca="true" t="shared" si="5" ref="Y16:Y22">$N16*S16</f>
        <v>0</v>
      </c>
      <c r="Z16" s="116">
        <f aca="true" t="shared" si="6" ref="Z16:Z22">$N16*T16</f>
        <v>0</v>
      </c>
      <c r="AA16" s="116">
        <f aca="true" t="shared" si="7" ref="AA16:AA22">$N16*U16</f>
        <v>0</v>
      </c>
      <c r="AB16" s="76"/>
    </row>
    <row r="17" spans="1:28" ht="12.75">
      <c r="A17" s="7"/>
      <c r="B17" s="3"/>
      <c r="C17" s="12" t="s">
        <v>60</v>
      </c>
      <c r="D17" s="111"/>
      <c r="E17" s="6" t="s">
        <v>48</v>
      </c>
      <c r="F17" s="3" t="s">
        <v>354</v>
      </c>
      <c r="G17" s="76">
        <v>0.15</v>
      </c>
      <c r="H17" s="3" t="s">
        <v>354</v>
      </c>
      <c r="I17" s="250"/>
      <c r="J17" t="s">
        <v>334</v>
      </c>
      <c r="K17" s="240">
        <f>G17*I17/1000</f>
        <v>0</v>
      </c>
      <c r="L17" s="3" t="s">
        <v>36</v>
      </c>
      <c r="M17" s="32"/>
      <c r="N17" s="250"/>
      <c r="O17" s="3"/>
      <c r="P17" s="76"/>
      <c r="Q17" s="76">
        <v>0.01</v>
      </c>
      <c r="R17" s="76"/>
      <c r="S17" s="76">
        <v>0.8</v>
      </c>
      <c r="T17" s="76">
        <v>0.19</v>
      </c>
      <c r="U17" s="76"/>
      <c r="V17" s="116">
        <f t="shared" si="2"/>
        <v>0</v>
      </c>
      <c r="W17" s="116">
        <f t="shared" si="3"/>
        <v>0</v>
      </c>
      <c r="X17" s="116">
        <f t="shared" si="4"/>
        <v>0</v>
      </c>
      <c r="Y17" s="116">
        <f t="shared" si="5"/>
        <v>0</v>
      </c>
      <c r="Z17" s="116">
        <f t="shared" si="6"/>
        <v>0</v>
      </c>
      <c r="AA17" s="116">
        <f t="shared" si="7"/>
        <v>0</v>
      </c>
      <c r="AB17" s="76"/>
    </row>
    <row r="18" spans="1:28" ht="51">
      <c r="A18" s="3"/>
      <c r="B18" s="3"/>
      <c r="C18" s="12" t="s">
        <v>962</v>
      </c>
      <c r="D18" s="111"/>
      <c r="E18" s="6" t="s">
        <v>58</v>
      </c>
      <c r="F18" s="3" t="s">
        <v>354</v>
      </c>
      <c r="G18" s="670">
        <f>(0.15+0.15+0.1)/3</f>
        <v>0.13333333333333333</v>
      </c>
      <c r="H18" s="3" t="s">
        <v>354</v>
      </c>
      <c r="I18" s="250">
        <f>'Step2-Energy'!C6</f>
        <v>0</v>
      </c>
      <c r="J18" t="s">
        <v>334</v>
      </c>
      <c r="K18" s="240">
        <f>G18*I18/1000</f>
        <v>0</v>
      </c>
      <c r="L18" s="3" t="s">
        <v>66</v>
      </c>
      <c r="M18" s="33"/>
      <c r="N18" s="250"/>
      <c r="O18" s="3"/>
      <c r="P18" s="76"/>
      <c r="Q18" s="76"/>
      <c r="R18" s="76"/>
      <c r="S18" s="76"/>
      <c r="T18" s="76"/>
      <c r="U18" s="76"/>
      <c r="V18" s="116">
        <f t="shared" si="2"/>
        <v>0</v>
      </c>
      <c r="W18" s="116">
        <f t="shared" si="3"/>
        <v>0</v>
      </c>
      <c r="X18" s="116">
        <f t="shared" si="4"/>
        <v>0</v>
      </c>
      <c r="Y18" s="116">
        <f t="shared" si="5"/>
        <v>0</v>
      </c>
      <c r="Z18" s="116">
        <f t="shared" si="6"/>
        <v>0</v>
      </c>
      <c r="AA18" s="116">
        <f t="shared" si="7"/>
        <v>0</v>
      </c>
      <c r="AB18" s="76"/>
    </row>
    <row r="19" spans="1:28" ht="12.75">
      <c r="A19" s="3"/>
      <c r="B19" s="3"/>
      <c r="C19" s="9"/>
      <c r="D19" s="76"/>
      <c r="E19" s="6"/>
      <c r="F19" s="3"/>
      <c r="G19" s="76"/>
      <c r="H19" s="3"/>
      <c r="I19" s="250"/>
      <c r="K19" s="236"/>
      <c r="L19" s="3"/>
      <c r="M19" s="53" t="s">
        <v>548</v>
      </c>
      <c r="N19" s="250">
        <f>K18</f>
        <v>0</v>
      </c>
      <c r="O19" s="3" t="s">
        <v>36</v>
      </c>
      <c r="P19" s="76">
        <v>1</v>
      </c>
      <c r="Q19" s="117"/>
      <c r="R19" s="118"/>
      <c r="S19" s="118"/>
      <c r="T19" s="117"/>
      <c r="U19" s="76"/>
      <c r="V19" s="116">
        <f t="shared" si="2"/>
        <v>0</v>
      </c>
      <c r="W19" s="116">
        <f t="shared" si="3"/>
        <v>0</v>
      </c>
      <c r="X19" s="116">
        <f t="shared" si="4"/>
        <v>0</v>
      </c>
      <c r="Y19" s="116">
        <f t="shared" si="5"/>
        <v>0</v>
      </c>
      <c r="Z19" s="116">
        <f t="shared" si="6"/>
        <v>0</v>
      </c>
      <c r="AA19" s="116">
        <f t="shared" si="7"/>
        <v>0</v>
      </c>
      <c r="AB19" s="76"/>
    </row>
    <row r="20" spans="1:28" ht="12.75">
      <c r="A20" s="3"/>
      <c r="B20" s="3"/>
      <c r="C20" s="9"/>
      <c r="D20" s="76"/>
      <c r="E20" s="6"/>
      <c r="F20" s="3"/>
      <c r="G20" s="76"/>
      <c r="H20" s="3"/>
      <c r="I20" s="250"/>
      <c r="K20" s="236"/>
      <c r="L20" s="3"/>
      <c r="M20" s="33"/>
      <c r="N20" s="250"/>
      <c r="O20" s="3"/>
      <c r="P20" s="117"/>
      <c r="Q20" s="117"/>
      <c r="R20" s="118"/>
      <c r="S20" s="118"/>
      <c r="T20" s="117"/>
      <c r="U20" s="76"/>
      <c r="V20" s="116">
        <f t="shared" si="2"/>
        <v>0</v>
      </c>
      <c r="W20" s="116">
        <f t="shared" si="3"/>
        <v>0</v>
      </c>
      <c r="X20" s="116">
        <f t="shared" si="4"/>
        <v>0</v>
      </c>
      <c r="Y20" s="116">
        <f t="shared" si="5"/>
        <v>0</v>
      </c>
      <c r="Z20" s="116">
        <f t="shared" si="6"/>
        <v>0</v>
      </c>
      <c r="AA20" s="116">
        <f t="shared" si="7"/>
        <v>0</v>
      </c>
      <c r="AB20" s="76"/>
    </row>
    <row r="21" spans="1:28" ht="12.75">
      <c r="A21" s="3"/>
      <c r="B21" s="3"/>
      <c r="C21" s="9"/>
      <c r="D21" s="76"/>
      <c r="E21" s="6"/>
      <c r="F21" s="3"/>
      <c r="G21" s="76"/>
      <c r="H21" s="3"/>
      <c r="I21" s="250"/>
      <c r="K21" s="236"/>
      <c r="L21" s="3"/>
      <c r="M21" s="33"/>
      <c r="N21" s="250"/>
      <c r="O21" s="3"/>
      <c r="P21" s="117"/>
      <c r="Q21" s="117"/>
      <c r="R21" s="118"/>
      <c r="S21" s="118"/>
      <c r="T21" s="117"/>
      <c r="U21" s="76"/>
      <c r="V21" s="116">
        <f t="shared" si="2"/>
        <v>0</v>
      </c>
      <c r="W21" s="116">
        <f t="shared" si="3"/>
        <v>0</v>
      </c>
      <c r="X21" s="116">
        <f t="shared" si="4"/>
        <v>0</v>
      </c>
      <c r="Y21" s="116">
        <f t="shared" si="5"/>
        <v>0</v>
      </c>
      <c r="Z21" s="116">
        <f t="shared" si="6"/>
        <v>0</v>
      </c>
      <c r="AA21" s="116">
        <f t="shared" si="7"/>
        <v>0</v>
      </c>
      <c r="AB21" s="76"/>
    </row>
    <row r="22" spans="1:28" ht="12.75">
      <c r="A22" s="3"/>
      <c r="B22" s="3"/>
      <c r="C22" s="9"/>
      <c r="D22" s="76"/>
      <c r="E22" s="6"/>
      <c r="F22" s="3"/>
      <c r="G22" s="76"/>
      <c r="H22" s="3"/>
      <c r="I22" s="250"/>
      <c r="K22" s="236"/>
      <c r="L22" s="3"/>
      <c r="M22" s="33"/>
      <c r="N22" s="250"/>
      <c r="O22" s="3"/>
      <c r="P22" s="117"/>
      <c r="Q22" s="117"/>
      <c r="R22" s="118"/>
      <c r="S22" s="118"/>
      <c r="T22" s="117"/>
      <c r="U22" s="76"/>
      <c r="V22" s="116">
        <f t="shared" si="2"/>
        <v>0</v>
      </c>
      <c r="W22" s="116">
        <f t="shared" si="3"/>
        <v>0</v>
      </c>
      <c r="X22" s="116">
        <f t="shared" si="4"/>
        <v>0</v>
      </c>
      <c r="Y22" s="116">
        <f t="shared" si="5"/>
        <v>0</v>
      </c>
      <c r="Z22" s="116">
        <f t="shared" si="6"/>
        <v>0</v>
      </c>
      <c r="AA22" s="116">
        <f t="shared" si="7"/>
        <v>0</v>
      </c>
      <c r="AB22" s="76"/>
    </row>
    <row r="23" spans="1:28" ht="12.75">
      <c r="A23" s="3"/>
      <c r="B23" s="3"/>
      <c r="C23" s="9"/>
      <c r="D23" s="76"/>
      <c r="E23" s="6"/>
      <c r="F23" s="3"/>
      <c r="G23" s="76"/>
      <c r="H23" s="3"/>
      <c r="I23" s="250"/>
      <c r="K23" s="236"/>
      <c r="L23" s="3"/>
      <c r="M23" s="32"/>
      <c r="N23" s="250"/>
      <c r="O23" s="3"/>
      <c r="P23" s="117"/>
      <c r="Q23" s="117"/>
      <c r="R23" s="118"/>
      <c r="S23" s="118"/>
      <c r="T23" s="117"/>
      <c r="U23" s="76"/>
      <c r="V23" s="116"/>
      <c r="W23" s="116"/>
      <c r="X23" s="116"/>
      <c r="Y23" s="116"/>
      <c r="Z23" s="116"/>
      <c r="AA23" s="116"/>
      <c r="AB23" s="76"/>
    </row>
    <row r="24" spans="1:28" s="91" customFormat="1" ht="25.5">
      <c r="A24" s="88"/>
      <c r="B24" s="88" t="s">
        <v>67</v>
      </c>
      <c r="C24" s="97" t="s">
        <v>72</v>
      </c>
      <c r="D24" s="111"/>
      <c r="E24" s="98"/>
      <c r="F24" s="88"/>
      <c r="G24" s="76"/>
      <c r="H24" s="88"/>
      <c r="I24" s="250"/>
      <c r="K24" s="371"/>
      <c r="L24" s="88"/>
      <c r="M24" s="99"/>
      <c r="N24" s="250"/>
      <c r="O24" s="88"/>
      <c r="P24" s="117"/>
      <c r="Q24" s="117"/>
      <c r="R24" s="118"/>
      <c r="S24" s="118"/>
      <c r="T24" s="117"/>
      <c r="U24" s="76"/>
      <c r="V24" s="114">
        <f aca="true" t="shared" si="8" ref="V24:AA24">SUM(V25:V35)</f>
        <v>0</v>
      </c>
      <c r="W24" s="114">
        <f t="shared" si="8"/>
        <v>0</v>
      </c>
      <c r="X24" s="114">
        <f t="shared" si="8"/>
        <v>0</v>
      </c>
      <c r="Y24" s="114">
        <f t="shared" si="8"/>
        <v>0</v>
      </c>
      <c r="Z24" s="114">
        <f t="shared" si="8"/>
        <v>0</v>
      </c>
      <c r="AA24" s="114">
        <f t="shared" si="8"/>
        <v>0</v>
      </c>
      <c r="AB24" s="76"/>
    </row>
    <row r="25" spans="1:28" s="48" customFormat="1" ht="12.75">
      <c r="A25" s="28"/>
      <c r="B25" s="28"/>
      <c r="C25" s="100" t="s">
        <v>103</v>
      </c>
      <c r="D25" s="111"/>
      <c r="E25" s="629" t="s">
        <v>931</v>
      </c>
      <c r="F25" s="3" t="s">
        <v>356</v>
      </c>
      <c r="G25" s="287">
        <v>3.4</v>
      </c>
      <c r="H25" s="3" t="s">
        <v>356</v>
      </c>
      <c r="I25" s="340">
        <f>'Step2-Energy'!C15</f>
        <v>0</v>
      </c>
      <c r="J25" t="s">
        <v>335</v>
      </c>
      <c r="K25" s="236">
        <f>G25/1000000*I25</f>
        <v>0</v>
      </c>
      <c r="L25" s="101"/>
      <c r="M25" s="35"/>
      <c r="N25" s="250">
        <f>K25</f>
        <v>0</v>
      </c>
      <c r="O25" s="28"/>
      <c r="P25" s="369"/>
      <c r="Q25" s="369">
        <v>0.2</v>
      </c>
      <c r="R25" s="369"/>
      <c r="S25" s="369"/>
      <c r="T25" s="369"/>
      <c r="U25" s="369"/>
      <c r="V25" s="116">
        <f aca="true" t="shared" si="9" ref="V25:AA25">$N25*P25</f>
        <v>0</v>
      </c>
      <c r="W25" s="116">
        <f t="shared" si="9"/>
        <v>0</v>
      </c>
      <c r="X25" s="116">
        <f t="shared" si="9"/>
        <v>0</v>
      </c>
      <c r="Y25" s="116">
        <f t="shared" si="9"/>
        <v>0</v>
      </c>
      <c r="Z25" s="116">
        <f t="shared" si="9"/>
        <v>0</v>
      </c>
      <c r="AA25" s="116">
        <f t="shared" si="9"/>
        <v>0</v>
      </c>
      <c r="AB25" s="76"/>
    </row>
    <row r="26" spans="1:28" ht="12.75">
      <c r="A26" s="3"/>
      <c r="B26" s="3"/>
      <c r="C26" s="12" t="s">
        <v>104</v>
      </c>
      <c r="D26" s="111"/>
      <c r="E26" s="629" t="s">
        <v>931</v>
      </c>
      <c r="F26" s="3" t="s">
        <v>356</v>
      </c>
      <c r="G26" s="76">
        <v>3.4</v>
      </c>
      <c r="H26" s="3" t="s">
        <v>356</v>
      </c>
      <c r="I26" s="250">
        <f>'Step2-Energy'!C16</f>
        <v>0</v>
      </c>
      <c r="J26" t="s">
        <v>335</v>
      </c>
      <c r="K26" s="236">
        <f>G26/1000000*I26</f>
        <v>0</v>
      </c>
      <c r="L26" s="3" t="s">
        <v>36</v>
      </c>
      <c r="M26" s="15"/>
      <c r="N26" s="250">
        <f>K26</f>
        <v>0</v>
      </c>
      <c r="O26" s="3"/>
      <c r="P26" s="369">
        <v>0.25</v>
      </c>
      <c r="Q26" s="369">
        <v>0.01</v>
      </c>
      <c r="R26" s="369"/>
      <c r="S26" s="369"/>
      <c r="T26" s="369"/>
      <c r="U26" s="369">
        <v>0.15</v>
      </c>
      <c r="V26" s="116">
        <f aca="true" t="shared" si="10" ref="V26:AA26">$N26*P26</f>
        <v>0</v>
      </c>
      <c r="W26" s="116">
        <f t="shared" si="10"/>
        <v>0</v>
      </c>
      <c r="X26" s="116">
        <f t="shared" si="10"/>
        <v>0</v>
      </c>
      <c r="Y26" s="116">
        <f t="shared" si="10"/>
        <v>0</v>
      </c>
      <c r="Z26" s="116">
        <f t="shared" si="10"/>
        <v>0</v>
      </c>
      <c r="AA26" s="116">
        <f t="shared" si="10"/>
        <v>0</v>
      </c>
      <c r="AB26" s="76"/>
    </row>
    <row r="27" spans="1:28" ht="25.5">
      <c r="A27" s="3"/>
      <c r="B27" s="3"/>
      <c r="C27" s="12" t="s">
        <v>500</v>
      </c>
      <c r="D27" s="111"/>
      <c r="E27" s="11"/>
      <c r="F27" s="3"/>
      <c r="G27" s="76"/>
      <c r="H27" s="3"/>
      <c r="I27" s="250"/>
      <c r="K27" s="236"/>
      <c r="L27" s="3"/>
      <c r="M27" s="15"/>
      <c r="N27" s="250"/>
      <c r="O27" s="3"/>
      <c r="P27" s="117"/>
      <c r="Q27" s="117"/>
      <c r="R27" s="118"/>
      <c r="S27" s="118"/>
      <c r="T27" s="117"/>
      <c r="U27" s="117"/>
      <c r="V27" s="116"/>
      <c r="W27" s="116"/>
      <c r="X27" s="116"/>
      <c r="Y27" s="116"/>
      <c r="Z27" s="116"/>
      <c r="AA27" s="116"/>
      <c r="AB27" s="76"/>
    </row>
    <row r="28" spans="1:28" ht="12.75">
      <c r="A28" s="3"/>
      <c r="B28" s="3"/>
      <c r="C28" s="9" t="s">
        <v>68</v>
      </c>
      <c r="D28" s="76"/>
      <c r="E28" s="11" t="s">
        <v>501</v>
      </c>
      <c r="F28" s="3" t="s">
        <v>356</v>
      </c>
      <c r="G28" s="76">
        <v>55</v>
      </c>
      <c r="H28" s="3" t="s">
        <v>356</v>
      </c>
      <c r="I28" s="250">
        <f>'Step2-Energy'!C7</f>
        <v>0</v>
      </c>
      <c r="J28" t="s">
        <v>335</v>
      </c>
      <c r="K28" s="236">
        <f>G28/1000000*I28</f>
        <v>0</v>
      </c>
      <c r="L28" s="3" t="s">
        <v>36</v>
      </c>
      <c r="M28" s="15"/>
      <c r="N28" s="250">
        <f>K28</f>
        <v>0</v>
      </c>
      <c r="O28" s="3"/>
      <c r="P28" s="117">
        <v>1</v>
      </c>
      <c r="Q28" s="117"/>
      <c r="R28" s="118"/>
      <c r="S28" s="118"/>
      <c r="T28" s="117"/>
      <c r="U28" s="117"/>
      <c r="V28" s="116">
        <f aca="true" t="shared" si="11" ref="V28:AA30">$N28*P28</f>
        <v>0</v>
      </c>
      <c r="W28" s="116">
        <f t="shared" si="11"/>
        <v>0</v>
      </c>
      <c r="X28" s="116">
        <f t="shared" si="11"/>
        <v>0</v>
      </c>
      <c r="Y28" s="116">
        <f t="shared" si="11"/>
        <v>0</v>
      </c>
      <c r="Z28" s="116">
        <f t="shared" si="11"/>
        <v>0</v>
      </c>
      <c r="AA28" s="116">
        <f t="shared" si="11"/>
        <v>0</v>
      </c>
      <c r="AB28" s="76"/>
    </row>
    <row r="29" spans="1:28" ht="25.5">
      <c r="A29" s="3"/>
      <c r="B29" s="3"/>
      <c r="C29" s="9" t="s">
        <v>503</v>
      </c>
      <c r="D29" s="76"/>
      <c r="E29" s="6" t="s">
        <v>501</v>
      </c>
      <c r="F29" s="3" t="s">
        <v>356</v>
      </c>
      <c r="G29" s="76">
        <v>55</v>
      </c>
      <c r="H29" s="3" t="s">
        <v>356</v>
      </c>
      <c r="I29" s="250"/>
      <c r="J29" t="s">
        <v>335</v>
      </c>
      <c r="K29" s="240">
        <f>G29/1000000*I29</f>
        <v>0</v>
      </c>
      <c r="L29" s="3" t="s">
        <v>36</v>
      </c>
      <c r="M29" s="33" t="s">
        <v>70</v>
      </c>
      <c r="N29" s="250"/>
      <c r="O29" s="3"/>
      <c r="P29" s="117">
        <v>1</v>
      </c>
      <c r="Q29" s="117"/>
      <c r="R29" s="118"/>
      <c r="S29" s="118"/>
      <c r="T29" s="117"/>
      <c r="U29" s="117"/>
      <c r="V29" s="116">
        <f t="shared" si="11"/>
        <v>0</v>
      </c>
      <c r="W29" s="116">
        <f t="shared" si="11"/>
        <v>0</v>
      </c>
      <c r="X29" s="116">
        <f t="shared" si="11"/>
        <v>0</v>
      </c>
      <c r="Y29" s="116">
        <f t="shared" si="11"/>
        <v>0</v>
      </c>
      <c r="Z29" s="116">
        <f t="shared" si="11"/>
        <v>0</v>
      </c>
      <c r="AA29" s="116">
        <f t="shared" si="11"/>
        <v>0</v>
      </c>
      <c r="AB29" s="76"/>
    </row>
    <row r="30" spans="1:28" ht="76.5">
      <c r="A30" s="3"/>
      <c r="B30" s="3"/>
      <c r="C30" s="630" t="s">
        <v>932</v>
      </c>
      <c r="D30" s="76"/>
      <c r="E30" s="6"/>
      <c r="F30" s="3"/>
      <c r="G30" s="76"/>
      <c r="H30" s="3"/>
      <c r="I30" s="250"/>
      <c r="K30" s="236"/>
      <c r="L30" s="3"/>
      <c r="M30" s="33" t="s">
        <v>71</v>
      </c>
      <c r="N30" s="250"/>
      <c r="O30" s="3"/>
      <c r="P30" s="117">
        <v>0.9</v>
      </c>
      <c r="Q30" s="117"/>
      <c r="R30" s="118"/>
      <c r="S30" s="118"/>
      <c r="T30" s="117"/>
      <c r="U30" s="117">
        <v>0.1</v>
      </c>
      <c r="V30" s="116">
        <f t="shared" si="11"/>
        <v>0</v>
      </c>
      <c r="W30" s="116">
        <f t="shared" si="11"/>
        <v>0</v>
      </c>
      <c r="X30" s="116">
        <f t="shared" si="11"/>
        <v>0</v>
      </c>
      <c r="Y30" s="116">
        <f t="shared" si="11"/>
        <v>0</v>
      </c>
      <c r="Z30" s="116">
        <f t="shared" si="11"/>
        <v>0</v>
      </c>
      <c r="AA30" s="116">
        <f t="shared" si="11"/>
        <v>0</v>
      </c>
      <c r="AB30" s="76"/>
    </row>
    <row r="31" spans="1:28" ht="25.5">
      <c r="A31" s="3"/>
      <c r="B31" s="3"/>
      <c r="C31" s="12" t="s">
        <v>498</v>
      </c>
      <c r="D31" s="112"/>
      <c r="E31" s="6"/>
      <c r="F31" s="3"/>
      <c r="G31" s="76"/>
      <c r="H31" s="3"/>
      <c r="I31" s="250"/>
      <c r="K31" s="236"/>
      <c r="L31" s="3"/>
      <c r="M31" s="15"/>
      <c r="N31" s="250"/>
      <c r="O31" s="3"/>
      <c r="P31" s="117"/>
      <c r="Q31" s="117"/>
      <c r="R31" s="118"/>
      <c r="S31" s="118"/>
      <c r="T31" s="117"/>
      <c r="U31" s="76"/>
      <c r="V31" s="116"/>
      <c r="W31" s="116"/>
      <c r="X31" s="116"/>
      <c r="Y31" s="116"/>
      <c r="Z31" s="116"/>
      <c r="AA31" s="116"/>
      <c r="AB31" s="76"/>
    </row>
    <row r="32" spans="1:28" ht="25.5">
      <c r="A32" s="3"/>
      <c r="B32" s="3"/>
      <c r="C32" s="9" t="s">
        <v>499</v>
      </c>
      <c r="D32" s="76"/>
      <c r="E32" s="6" t="s">
        <v>502</v>
      </c>
      <c r="F32" s="3" t="s">
        <v>356</v>
      </c>
      <c r="G32" s="76">
        <v>5.5</v>
      </c>
      <c r="H32" s="3" t="s">
        <v>356</v>
      </c>
      <c r="I32" s="250">
        <f>'Step2-Energy'!C8</f>
        <v>0</v>
      </c>
      <c r="J32" t="s">
        <v>335</v>
      </c>
      <c r="K32" s="236">
        <f>G32/1000000*I32</f>
        <v>0</v>
      </c>
      <c r="L32" s="3" t="s">
        <v>36</v>
      </c>
      <c r="M32" s="32"/>
      <c r="N32" s="250">
        <f>K32</f>
        <v>0</v>
      </c>
      <c r="O32" s="3"/>
      <c r="P32" s="117">
        <v>1</v>
      </c>
      <c r="Q32" s="117"/>
      <c r="R32" s="118"/>
      <c r="S32" s="118"/>
      <c r="T32" s="117"/>
      <c r="U32" s="76"/>
      <c r="V32" s="116">
        <f aca="true" t="shared" si="12" ref="V32:AA35">$N32*P32</f>
        <v>0</v>
      </c>
      <c r="W32" s="116">
        <f t="shared" si="12"/>
        <v>0</v>
      </c>
      <c r="X32" s="116">
        <f t="shared" si="12"/>
        <v>0</v>
      </c>
      <c r="Y32" s="116">
        <f t="shared" si="12"/>
        <v>0</v>
      </c>
      <c r="Z32" s="116">
        <f t="shared" si="12"/>
        <v>0</v>
      </c>
      <c r="AA32" s="116">
        <f t="shared" si="12"/>
        <v>0</v>
      </c>
      <c r="AB32" s="76"/>
    </row>
    <row r="33" spans="1:28" ht="25.5">
      <c r="A33" s="3"/>
      <c r="B33" s="3"/>
      <c r="C33" s="9" t="s">
        <v>69</v>
      </c>
      <c r="D33" s="76"/>
      <c r="E33" s="6" t="s">
        <v>502</v>
      </c>
      <c r="F33" s="3" t="s">
        <v>356</v>
      </c>
      <c r="G33" s="76">
        <v>5.5</v>
      </c>
      <c r="H33" s="3" t="s">
        <v>356</v>
      </c>
      <c r="I33" s="250"/>
      <c r="J33" t="s">
        <v>335</v>
      </c>
      <c r="K33" s="240">
        <f>G33/1000000*I33</f>
        <v>0</v>
      </c>
      <c r="L33" s="3" t="s">
        <v>36</v>
      </c>
      <c r="M33" s="32"/>
      <c r="N33" s="250"/>
      <c r="O33" s="3"/>
      <c r="P33" s="117">
        <v>1</v>
      </c>
      <c r="Q33" s="117"/>
      <c r="R33" s="118"/>
      <c r="S33" s="118"/>
      <c r="T33" s="117"/>
      <c r="U33" s="76"/>
      <c r="V33" s="116">
        <f t="shared" si="12"/>
        <v>0</v>
      </c>
      <c r="W33" s="116">
        <f t="shared" si="12"/>
        <v>0</v>
      </c>
      <c r="X33" s="116">
        <f t="shared" si="12"/>
        <v>0</v>
      </c>
      <c r="Y33" s="116">
        <f t="shared" si="12"/>
        <v>0</v>
      </c>
      <c r="Z33" s="116">
        <f t="shared" si="12"/>
        <v>0</v>
      </c>
      <c r="AA33" s="116">
        <f t="shared" si="12"/>
        <v>0</v>
      </c>
      <c r="AB33" s="76"/>
    </row>
    <row r="34" spans="1:28" ht="25.5">
      <c r="A34" s="3"/>
      <c r="B34" s="3"/>
      <c r="C34" s="9" t="s">
        <v>161</v>
      </c>
      <c r="D34" s="76"/>
      <c r="E34" s="6" t="s">
        <v>502</v>
      </c>
      <c r="F34" s="3" t="s">
        <v>356</v>
      </c>
      <c r="G34" s="76">
        <v>5.5</v>
      </c>
      <c r="H34" s="3" t="s">
        <v>356</v>
      </c>
      <c r="I34" s="250"/>
      <c r="J34" t="s">
        <v>335</v>
      </c>
      <c r="K34" s="240">
        <f>G34/1000000*I34</f>
        <v>0</v>
      </c>
      <c r="L34" s="3" t="s">
        <v>36</v>
      </c>
      <c r="M34" s="33" t="s">
        <v>70</v>
      </c>
      <c r="N34" s="250"/>
      <c r="O34" s="3"/>
      <c r="P34" s="117">
        <v>1</v>
      </c>
      <c r="Q34" s="117"/>
      <c r="R34" s="118"/>
      <c r="S34" s="118"/>
      <c r="T34" s="117"/>
      <c r="U34" s="76"/>
      <c r="V34" s="116">
        <f t="shared" si="12"/>
        <v>0</v>
      </c>
      <c r="W34" s="116">
        <f t="shared" si="12"/>
        <v>0</v>
      </c>
      <c r="X34" s="116">
        <f t="shared" si="12"/>
        <v>0</v>
      </c>
      <c r="Y34" s="116">
        <f t="shared" si="12"/>
        <v>0</v>
      </c>
      <c r="Z34" s="116">
        <f t="shared" si="12"/>
        <v>0</v>
      </c>
      <c r="AA34" s="116">
        <f t="shared" si="12"/>
        <v>0</v>
      </c>
      <c r="AB34" s="76"/>
    </row>
    <row r="35" spans="1:28" ht="63.75">
      <c r="A35" s="3"/>
      <c r="B35" s="3"/>
      <c r="C35" s="630" t="s">
        <v>932</v>
      </c>
      <c r="D35" s="76"/>
      <c r="E35" s="6"/>
      <c r="F35" s="3"/>
      <c r="G35" s="76"/>
      <c r="H35" s="3"/>
      <c r="I35" s="250"/>
      <c r="K35" s="236"/>
      <c r="L35" s="3"/>
      <c r="M35" s="33" t="s">
        <v>71</v>
      </c>
      <c r="N35" s="250"/>
      <c r="O35" s="3"/>
      <c r="P35" s="117">
        <v>0.9</v>
      </c>
      <c r="Q35" s="117"/>
      <c r="R35" s="118"/>
      <c r="S35" s="118"/>
      <c r="T35" s="117"/>
      <c r="U35" s="117">
        <v>0.1</v>
      </c>
      <c r="V35" s="116">
        <f t="shared" si="12"/>
        <v>0</v>
      </c>
      <c r="W35" s="116">
        <f t="shared" si="12"/>
        <v>0</v>
      </c>
      <c r="X35" s="116">
        <f t="shared" si="12"/>
        <v>0</v>
      </c>
      <c r="Y35" s="116">
        <f t="shared" si="12"/>
        <v>0</v>
      </c>
      <c r="Z35" s="116">
        <f t="shared" si="12"/>
        <v>0</v>
      </c>
      <c r="AA35" s="116">
        <f t="shared" si="12"/>
        <v>0</v>
      </c>
      <c r="AB35" s="76"/>
    </row>
    <row r="36" spans="1:28" s="55" customFormat="1" ht="12.75">
      <c r="A36" s="104"/>
      <c r="B36" s="104"/>
      <c r="C36" s="105"/>
      <c r="D36" s="76"/>
      <c r="E36" s="106"/>
      <c r="F36" s="104"/>
      <c r="G36" s="76"/>
      <c r="H36" s="104"/>
      <c r="I36" s="250"/>
      <c r="K36" s="236"/>
      <c r="L36" s="104"/>
      <c r="M36" s="107"/>
      <c r="N36" s="250"/>
      <c r="O36" s="104"/>
      <c r="P36" s="117"/>
      <c r="Q36" s="117"/>
      <c r="R36" s="118"/>
      <c r="S36" s="118"/>
      <c r="T36" s="117"/>
      <c r="U36" s="76"/>
      <c r="V36" s="116"/>
      <c r="W36" s="116"/>
      <c r="X36" s="116"/>
      <c r="Y36" s="116"/>
      <c r="Z36" s="116"/>
      <c r="AA36" s="116"/>
      <c r="AB36" s="76"/>
    </row>
    <row r="37" spans="1:28" ht="25.5">
      <c r="A37" s="3"/>
      <c r="B37" s="3" t="s">
        <v>73</v>
      </c>
      <c r="C37" s="12" t="s">
        <v>74</v>
      </c>
      <c r="D37" s="111"/>
      <c r="E37" s="6"/>
      <c r="F37" s="3"/>
      <c r="G37" s="76"/>
      <c r="H37" s="3"/>
      <c r="I37" s="250"/>
      <c r="K37" s="371"/>
      <c r="L37" s="3"/>
      <c r="M37" s="33"/>
      <c r="N37" s="250"/>
      <c r="O37" s="3"/>
      <c r="P37" s="117"/>
      <c r="Q37" s="117"/>
      <c r="R37" s="118"/>
      <c r="S37" s="118"/>
      <c r="T37" s="117"/>
      <c r="U37" s="76"/>
      <c r="V37" s="114">
        <f aca="true" t="shared" si="13" ref="V37:AA37">SUM(V38,V39)</f>
        <v>0</v>
      </c>
      <c r="W37" s="114">
        <f t="shared" si="13"/>
        <v>0</v>
      </c>
      <c r="X37" s="114">
        <f t="shared" si="13"/>
        <v>0</v>
      </c>
      <c r="Y37" s="114">
        <f t="shared" si="13"/>
        <v>0</v>
      </c>
      <c r="Z37" s="114">
        <f t="shared" si="13"/>
        <v>0</v>
      </c>
      <c r="AA37" s="114">
        <f t="shared" si="13"/>
        <v>0</v>
      </c>
      <c r="AB37" s="76"/>
    </row>
    <row r="38" spans="1:28" ht="25.5">
      <c r="A38" s="3"/>
      <c r="B38" s="3"/>
      <c r="C38" s="12" t="s">
        <v>105</v>
      </c>
      <c r="D38" s="111"/>
      <c r="E38" s="6" t="s">
        <v>77</v>
      </c>
      <c r="F38" s="3" t="s">
        <v>78</v>
      </c>
      <c r="G38" s="76">
        <v>100</v>
      </c>
      <c r="H38" s="3" t="s">
        <v>78</v>
      </c>
      <c r="I38" s="250">
        <f>'Step2-Energy'!C17</f>
        <v>0</v>
      </c>
      <c r="J38" t="s">
        <v>75</v>
      </c>
      <c r="K38" s="239">
        <f>G38*I38/1000000000</f>
        <v>0</v>
      </c>
      <c r="L38" s="3" t="s">
        <v>36</v>
      </c>
      <c r="M38" s="33" t="s">
        <v>507</v>
      </c>
      <c r="N38" s="250">
        <f>K38*0.5</f>
        <v>0</v>
      </c>
      <c r="O38" s="3"/>
      <c r="P38" s="117">
        <v>0.2</v>
      </c>
      <c r="Q38" s="117">
        <v>0.2</v>
      </c>
      <c r="R38" s="117"/>
      <c r="S38" s="117">
        <v>0.5</v>
      </c>
      <c r="T38" s="117"/>
      <c r="U38" s="117">
        <v>0.1</v>
      </c>
      <c r="V38" s="116">
        <f aca="true" t="shared" si="14" ref="V38:AA41">$N38*P38</f>
        <v>0</v>
      </c>
      <c r="W38" s="116">
        <f t="shared" si="14"/>
        <v>0</v>
      </c>
      <c r="X38" s="116">
        <f t="shared" si="14"/>
        <v>0</v>
      </c>
      <c r="Y38" s="116">
        <f t="shared" si="14"/>
        <v>0</v>
      </c>
      <c r="Z38" s="116">
        <f t="shared" si="14"/>
        <v>0</v>
      </c>
      <c r="AA38" s="116">
        <f t="shared" si="14"/>
        <v>0</v>
      </c>
      <c r="AB38" s="76"/>
    </row>
    <row r="39" spans="1:28" ht="25.5">
      <c r="A39" s="3"/>
      <c r="B39" s="3"/>
      <c r="C39" s="12"/>
      <c r="D39" s="111"/>
      <c r="E39" s="6"/>
      <c r="F39" s="3"/>
      <c r="G39" s="76"/>
      <c r="H39" s="3"/>
      <c r="I39" s="250"/>
      <c r="K39" s="239"/>
      <c r="L39" s="3"/>
      <c r="M39" s="33" t="s">
        <v>506</v>
      </c>
      <c r="N39" s="250">
        <f>K38*0.5</f>
        <v>0</v>
      </c>
      <c r="O39" s="3"/>
      <c r="P39" s="117">
        <v>0.1</v>
      </c>
      <c r="Q39" s="117">
        <v>0.2</v>
      </c>
      <c r="R39" s="117"/>
      <c r="S39" s="117">
        <v>0.1</v>
      </c>
      <c r="T39" s="117"/>
      <c r="U39" s="117">
        <v>0.6</v>
      </c>
      <c r="V39" s="116">
        <f aca="true" t="shared" si="15" ref="V39:AA39">$N39*P39</f>
        <v>0</v>
      </c>
      <c r="W39" s="116">
        <f t="shared" si="15"/>
        <v>0</v>
      </c>
      <c r="X39" s="116">
        <f t="shared" si="15"/>
        <v>0</v>
      </c>
      <c r="Y39" s="116">
        <f t="shared" si="15"/>
        <v>0</v>
      </c>
      <c r="Z39" s="116">
        <f t="shared" si="15"/>
        <v>0</v>
      </c>
      <c r="AA39" s="116">
        <f t="shared" si="15"/>
        <v>0</v>
      </c>
      <c r="AB39" s="76"/>
    </row>
    <row r="40" spans="1:28" ht="12.75">
      <c r="A40" s="3"/>
      <c r="B40" s="3"/>
      <c r="C40" s="12" t="s">
        <v>106</v>
      </c>
      <c r="D40" s="111"/>
      <c r="E40" s="6" t="s">
        <v>77</v>
      </c>
      <c r="F40" s="3" t="s">
        <v>78</v>
      </c>
      <c r="G40" s="76">
        <v>100</v>
      </c>
      <c r="H40" s="3" t="s">
        <v>78</v>
      </c>
      <c r="I40" s="250">
        <f>'Step2-Energy'!C9</f>
        <v>0</v>
      </c>
      <c r="J40" t="s">
        <v>75</v>
      </c>
      <c r="K40" s="239">
        <f>G40/1000000000*I40</f>
        <v>0</v>
      </c>
      <c r="L40" s="3" t="s">
        <v>36</v>
      </c>
      <c r="M40" s="34"/>
      <c r="N40" s="250">
        <f>K40</f>
        <v>0</v>
      </c>
      <c r="O40" s="3"/>
      <c r="P40" s="117">
        <v>1</v>
      </c>
      <c r="Q40" s="117"/>
      <c r="R40" s="118"/>
      <c r="S40" s="118"/>
      <c r="T40" s="117"/>
      <c r="U40" s="76"/>
      <c r="V40" s="116">
        <f t="shared" si="14"/>
        <v>0</v>
      </c>
      <c r="W40" s="116">
        <f t="shared" si="14"/>
        <v>0</v>
      </c>
      <c r="X40" s="116">
        <f t="shared" si="14"/>
        <v>0</v>
      </c>
      <c r="Y40" s="116">
        <f t="shared" si="14"/>
        <v>0</v>
      </c>
      <c r="Z40" s="116">
        <f t="shared" si="14"/>
        <v>0</v>
      </c>
      <c r="AA40" s="116">
        <f t="shared" si="14"/>
        <v>0</v>
      </c>
      <c r="AB40" s="76"/>
    </row>
    <row r="41" spans="1:28" ht="25.5">
      <c r="A41" s="3"/>
      <c r="B41" s="3"/>
      <c r="C41" s="12" t="s">
        <v>107</v>
      </c>
      <c r="D41" s="111"/>
      <c r="E41" s="6" t="s">
        <v>76</v>
      </c>
      <c r="F41" s="3" t="s">
        <v>78</v>
      </c>
      <c r="G41" s="76">
        <v>0.22</v>
      </c>
      <c r="H41" s="3" t="s">
        <v>78</v>
      </c>
      <c r="I41" s="250">
        <f>'Step2-Energy'!C10</f>
        <v>0</v>
      </c>
      <c r="J41" t="s">
        <v>75</v>
      </c>
      <c r="K41" s="239">
        <f>G41/1000000000*I41</f>
        <v>0</v>
      </c>
      <c r="L41" s="3" t="s">
        <v>36</v>
      </c>
      <c r="M41" s="15"/>
      <c r="N41" s="476">
        <f>K41</f>
        <v>0</v>
      </c>
      <c r="O41" s="3"/>
      <c r="P41" s="117">
        <v>1</v>
      </c>
      <c r="Q41" s="117"/>
      <c r="R41" s="118"/>
      <c r="S41" s="118"/>
      <c r="T41" s="117"/>
      <c r="U41" s="76"/>
      <c r="V41" s="116">
        <f t="shared" si="14"/>
        <v>0</v>
      </c>
      <c r="W41" s="116">
        <f t="shared" si="14"/>
        <v>0</v>
      </c>
      <c r="X41" s="116">
        <f t="shared" si="14"/>
        <v>0</v>
      </c>
      <c r="Y41" s="116">
        <f t="shared" si="14"/>
        <v>0</v>
      </c>
      <c r="Z41" s="116">
        <f t="shared" si="14"/>
        <v>0</v>
      </c>
      <c r="AA41" s="116">
        <f t="shared" si="14"/>
        <v>0</v>
      </c>
      <c r="AB41" s="76"/>
    </row>
    <row r="42" spans="1:28" ht="12.75">
      <c r="A42" s="3"/>
      <c r="B42" s="3"/>
      <c r="C42" s="9"/>
      <c r="D42" s="76"/>
      <c r="E42" s="6"/>
      <c r="F42" s="3"/>
      <c r="G42" s="76"/>
      <c r="H42" s="3"/>
      <c r="I42" s="250"/>
      <c r="K42" s="240"/>
      <c r="L42" s="3"/>
      <c r="M42" s="15"/>
      <c r="N42" s="250"/>
      <c r="O42" s="3"/>
      <c r="P42" s="117"/>
      <c r="Q42" s="117"/>
      <c r="R42" s="118"/>
      <c r="S42" s="118"/>
      <c r="T42" s="117"/>
      <c r="U42" s="76"/>
      <c r="V42" s="116"/>
      <c r="W42" s="116"/>
      <c r="X42" s="116"/>
      <c r="Y42" s="116"/>
      <c r="Z42" s="116"/>
      <c r="AA42" s="116"/>
      <c r="AB42" s="76"/>
    </row>
    <row r="43" spans="1:28" s="55" customFormat="1" ht="12.75">
      <c r="A43" s="104"/>
      <c r="B43" s="104"/>
      <c r="C43" s="105"/>
      <c r="D43" s="76"/>
      <c r="E43" s="106"/>
      <c r="F43" s="104"/>
      <c r="G43" s="76"/>
      <c r="H43" s="104"/>
      <c r="I43" s="250"/>
      <c r="K43" s="240"/>
      <c r="L43" s="104"/>
      <c r="M43" s="107"/>
      <c r="N43" s="250"/>
      <c r="O43" s="104"/>
      <c r="P43" s="117"/>
      <c r="Q43" s="117"/>
      <c r="R43" s="118"/>
      <c r="S43" s="118"/>
      <c r="T43" s="117"/>
      <c r="U43" s="76"/>
      <c r="V43" s="116"/>
      <c r="W43" s="116"/>
      <c r="X43" s="116"/>
      <c r="Y43" s="116"/>
      <c r="Z43" s="116"/>
      <c r="AA43" s="116"/>
      <c r="AB43" s="76"/>
    </row>
    <row r="44" spans="1:28" ht="25.5">
      <c r="A44" s="3"/>
      <c r="B44" s="3" t="s">
        <v>79</v>
      </c>
      <c r="C44" s="12" t="s">
        <v>80</v>
      </c>
      <c r="D44" s="111"/>
      <c r="E44" s="6"/>
      <c r="F44" s="3"/>
      <c r="G44" s="76"/>
      <c r="H44" s="3"/>
      <c r="I44" s="250"/>
      <c r="K44" s="238"/>
      <c r="L44" s="3"/>
      <c r="M44" s="33"/>
      <c r="N44" s="250"/>
      <c r="O44" s="3"/>
      <c r="P44" s="117"/>
      <c r="Q44" s="117"/>
      <c r="R44" s="118"/>
      <c r="S44" s="118"/>
      <c r="T44" s="117"/>
      <c r="U44" s="76"/>
      <c r="V44" s="114">
        <f aca="true" t="shared" si="16" ref="V44:AA44">SUM(V45:V46)</f>
        <v>0</v>
      </c>
      <c r="W44" s="114">
        <f t="shared" si="16"/>
        <v>0</v>
      </c>
      <c r="X44" s="114">
        <f t="shared" si="16"/>
        <v>0</v>
      </c>
      <c r="Y44" s="114">
        <f t="shared" si="16"/>
        <v>0</v>
      </c>
      <c r="Z44" s="114">
        <f t="shared" si="16"/>
        <v>0</v>
      </c>
      <c r="AA44" s="114">
        <f t="shared" si="16"/>
        <v>0</v>
      </c>
      <c r="AB44" s="76"/>
    </row>
    <row r="45" spans="1:28" ht="12.75">
      <c r="A45" s="3"/>
      <c r="B45" s="3"/>
      <c r="C45" s="12" t="s">
        <v>87</v>
      </c>
      <c r="D45" s="111"/>
      <c r="E45" s="11" t="s">
        <v>86</v>
      </c>
      <c r="F45" s="3" t="s">
        <v>358</v>
      </c>
      <c r="G45" s="76">
        <v>117</v>
      </c>
      <c r="H45" s="3" t="s">
        <v>358</v>
      </c>
      <c r="I45" s="250"/>
      <c r="J45" t="s">
        <v>336</v>
      </c>
      <c r="K45" s="240">
        <f>G45/1000*I45</f>
        <v>0</v>
      </c>
      <c r="L45" s="3" t="s">
        <v>36</v>
      </c>
      <c r="M45" s="33"/>
      <c r="N45" s="250"/>
      <c r="O45" s="3"/>
      <c r="P45" s="117">
        <v>1</v>
      </c>
      <c r="Q45" s="117"/>
      <c r="R45" s="118"/>
      <c r="S45" s="118"/>
      <c r="T45" s="117"/>
      <c r="U45" s="76"/>
      <c r="V45" s="116">
        <f aca="true" t="shared" si="17" ref="V45:AA46">$N45*P45</f>
        <v>0</v>
      </c>
      <c r="W45" s="116">
        <f t="shared" si="17"/>
        <v>0</v>
      </c>
      <c r="X45" s="116">
        <f t="shared" si="17"/>
        <v>0</v>
      </c>
      <c r="Y45" s="116">
        <f t="shared" si="17"/>
        <v>0</v>
      </c>
      <c r="Z45" s="116">
        <f t="shared" si="17"/>
        <v>0</v>
      </c>
      <c r="AA45" s="116">
        <f t="shared" si="17"/>
        <v>0</v>
      </c>
      <c r="AB45" s="76"/>
    </row>
    <row r="46" spans="3:28" ht="12.75">
      <c r="C46" s="26" t="s">
        <v>81</v>
      </c>
      <c r="D46" s="111"/>
      <c r="F46" s="3"/>
      <c r="G46" s="76" t="s">
        <v>43</v>
      </c>
      <c r="H46" t="s">
        <v>43</v>
      </c>
      <c r="I46" s="249"/>
      <c r="J46" t="s">
        <v>337</v>
      </c>
      <c r="K46" s="236" t="s">
        <v>43</v>
      </c>
      <c r="L46" s="3" t="s">
        <v>36</v>
      </c>
      <c r="M46" s="33"/>
      <c r="N46" s="250"/>
      <c r="O46" s="3"/>
      <c r="P46" s="117">
        <v>1</v>
      </c>
      <c r="Q46" s="117"/>
      <c r="R46" s="118"/>
      <c r="S46" s="118"/>
      <c r="T46" s="117"/>
      <c r="U46" s="76"/>
      <c r="V46" s="116">
        <f t="shared" si="17"/>
        <v>0</v>
      </c>
      <c r="W46" s="116">
        <f t="shared" si="17"/>
        <v>0</v>
      </c>
      <c r="X46" s="116">
        <f t="shared" si="17"/>
        <v>0</v>
      </c>
      <c r="Y46" s="116">
        <f t="shared" si="17"/>
        <v>0</v>
      </c>
      <c r="Z46" s="116">
        <f t="shared" si="17"/>
        <v>0</v>
      </c>
      <c r="AA46" s="116">
        <f t="shared" si="17"/>
        <v>0</v>
      </c>
      <c r="AB46" s="76"/>
    </row>
    <row r="47" spans="3:28" ht="25.5">
      <c r="C47" s="26" t="s">
        <v>88</v>
      </c>
      <c r="D47" s="111"/>
      <c r="G47" s="76"/>
      <c r="I47" s="249"/>
      <c r="K47" s="236"/>
      <c r="M47" s="32"/>
      <c r="N47" s="250"/>
      <c r="O47" s="3"/>
      <c r="P47" s="76">
        <v>1</v>
      </c>
      <c r="Q47" s="76"/>
      <c r="R47" s="76"/>
      <c r="S47" s="76"/>
      <c r="T47" s="76"/>
      <c r="U47" s="76"/>
      <c r="V47" s="58"/>
      <c r="W47" s="58"/>
      <c r="X47" s="58"/>
      <c r="Y47" s="58"/>
      <c r="Z47" s="58"/>
      <c r="AA47" s="58"/>
      <c r="AB47" s="76"/>
    </row>
    <row r="48" spans="3:28" ht="12.75">
      <c r="C48" s="341"/>
      <c r="D48" s="76"/>
      <c r="G48" s="76"/>
      <c r="I48" s="249"/>
      <c r="K48" s="236"/>
      <c r="M48" s="32"/>
      <c r="N48" s="250"/>
      <c r="O48" s="3"/>
      <c r="P48" s="76"/>
      <c r="Q48" s="76"/>
      <c r="R48" s="76"/>
      <c r="S48" s="76"/>
      <c r="T48" s="76"/>
      <c r="U48" s="76"/>
      <c r="V48" s="58"/>
      <c r="W48" s="58"/>
      <c r="X48" s="58"/>
      <c r="Y48" s="58"/>
      <c r="Z48" s="58"/>
      <c r="AA48" s="58"/>
      <c r="AB48" s="76"/>
    </row>
    <row r="49" spans="3:28" s="55" customFormat="1" ht="12.75">
      <c r="C49" s="105"/>
      <c r="D49" s="76"/>
      <c r="G49" s="76"/>
      <c r="I49" s="249"/>
      <c r="K49" s="236"/>
      <c r="M49" s="108"/>
      <c r="N49" s="250"/>
      <c r="O49" s="104"/>
      <c r="P49" s="76"/>
      <c r="Q49" s="76"/>
      <c r="R49" s="76"/>
      <c r="S49" s="76"/>
      <c r="T49" s="76"/>
      <c r="U49" s="76"/>
      <c r="V49" s="58"/>
      <c r="W49" s="58"/>
      <c r="X49" s="58"/>
      <c r="Y49" s="58"/>
      <c r="Z49" s="58"/>
      <c r="AA49" s="58"/>
      <c r="AB49" s="76"/>
    </row>
    <row r="50" spans="2:28" ht="25.5">
      <c r="B50" t="s">
        <v>82</v>
      </c>
      <c r="C50" s="12" t="s">
        <v>83</v>
      </c>
      <c r="D50" s="111"/>
      <c r="E50" s="3" t="s">
        <v>505</v>
      </c>
      <c r="F50" s="3" t="s">
        <v>504</v>
      </c>
      <c r="G50" s="287">
        <v>0.03</v>
      </c>
      <c r="H50" s="3" t="s">
        <v>504</v>
      </c>
      <c r="I50" s="250">
        <f>'Step2-Energy'!C11</f>
        <v>0</v>
      </c>
      <c r="J50" s="3" t="s">
        <v>452</v>
      </c>
      <c r="K50" s="236">
        <f>I50*G50/1000</f>
        <v>0</v>
      </c>
      <c r="L50" s="3" t="s">
        <v>36</v>
      </c>
      <c r="M50" s="32"/>
      <c r="N50" s="250">
        <f>K50</f>
        <v>0</v>
      </c>
      <c r="O50" s="3"/>
      <c r="P50" s="76">
        <v>1</v>
      </c>
      <c r="Q50" s="76"/>
      <c r="R50" s="76"/>
      <c r="S50" s="76"/>
      <c r="T50" s="76"/>
      <c r="U50" s="76"/>
      <c r="V50" s="114">
        <f aca="true" t="shared" si="18" ref="V50:AA50">$N50*P50</f>
        <v>0</v>
      </c>
      <c r="W50" s="114">
        <f t="shared" si="18"/>
        <v>0</v>
      </c>
      <c r="X50" s="114">
        <f t="shared" si="18"/>
        <v>0</v>
      </c>
      <c r="Y50" s="114">
        <f t="shared" si="18"/>
        <v>0</v>
      </c>
      <c r="Z50" s="114">
        <f t="shared" si="18"/>
        <v>0</v>
      </c>
      <c r="AA50" s="114">
        <f t="shared" si="18"/>
        <v>0</v>
      </c>
      <c r="AB50" s="76"/>
    </row>
    <row r="51" spans="3:28" ht="12.75">
      <c r="C51" s="341" t="s">
        <v>446</v>
      </c>
      <c r="D51" s="76"/>
      <c r="E51" s="370" t="s">
        <v>547</v>
      </c>
      <c r="F51" s="3" t="s">
        <v>504</v>
      </c>
      <c r="G51" s="287">
        <v>0.12</v>
      </c>
      <c r="H51" s="3" t="s">
        <v>504</v>
      </c>
      <c r="I51" s="250">
        <f>'Step2-Energy'!C12</f>
        <v>0</v>
      </c>
      <c r="J51" t="s">
        <v>453</v>
      </c>
      <c r="K51" s="236">
        <f>I51*G51/1000</f>
        <v>0</v>
      </c>
      <c r="L51" s="3" t="s">
        <v>36</v>
      </c>
      <c r="M51" s="32"/>
      <c r="N51" s="250">
        <f>K51</f>
        <v>0</v>
      </c>
      <c r="O51" s="3"/>
      <c r="P51" s="76">
        <v>1</v>
      </c>
      <c r="Q51" s="76"/>
      <c r="R51" s="76"/>
      <c r="S51" s="76"/>
      <c r="T51" s="76"/>
      <c r="U51" s="76"/>
      <c r="V51" s="114">
        <f aca="true" t="shared" si="19" ref="V51:AA51">$N51*P51</f>
        <v>0</v>
      </c>
      <c r="W51" s="114">
        <f t="shared" si="19"/>
        <v>0</v>
      </c>
      <c r="X51" s="114">
        <f t="shared" si="19"/>
        <v>0</v>
      </c>
      <c r="Y51" s="114">
        <f t="shared" si="19"/>
        <v>0</v>
      </c>
      <c r="Z51" s="114">
        <f t="shared" si="19"/>
        <v>0</v>
      </c>
      <c r="AA51" s="114">
        <f t="shared" si="19"/>
        <v>0</v>
      </c>
      <c r="AB51" s="76"/>
    </row>
    <row r="52" spans="3:28" s="55" customFormat="1" ht="12.75">
      <c r="C52" s="105"/>
      <c r="D52" s="76"/>
      <c r="G52" s="76"/>
      <c r="I52" s="249"/>
      <c r="K52" s="236"/>
      <c r="M52" s="108"/>
      <c r="N52" s="250"/>
      <c r="O52" s="109"/>
      <c r="P52" s="76"/>
      <c r="Q52" s="76"/>
      <c r="R52" s="76"/>
      <c r="S52" s="76"/>
      <c r="T52" s="76"/>
      <c r="U52" s="76"/>
      <c r="V52" s="192"/>
      <c r="W52" s="192"/>
      <c r="X52" s="192"/>
      <c r="Y52" s="192"/>
      <c r="Z52" s="192"/>
      <c r="AA52" s="192"/>
      <c r="AB52" s="76"/>
    </row>
    <row r="53" spans="2:28" ht="12.75">
      <c r="B53" t="s">
        <v>84</v>
      </c>
      <c r="C53" s="26" t="s">
        <v>85</v>
      </c>
      <c r="D53" s="111"/>
      <c r="E53" t="s">
        <v>43</v>
      </c>
      <c r="F53" t="s">
        <v>43</v>
      </c>
      <c r="G53" s="76" t="s">
        <v>43</v>
      </c>
      <c r="H53" t="s">
        <v>43</v>
      </c>
      <c r="I53" s="249" t="s">
        <v>43</v>
      </c>
      <c r="J53" t="s">
        <v>43</v>
      </c>
      <c r="K53" s="236" t="s">
        <v>43</v>
      </c>
      <c r="L53" s="3" t="s">
        <v>36</v>
      </c>
      <c r="M53" s="32"/>
      <c r="N53" s="250"/>
      <c r="O53" s="3"/>
      <c r="P53" s="76">
        <v>1</v>
      </c>
      <c r="Q53" s="76"/>
      <c r="R53" s="76"/>
      <c r="S53" s="76"/>
      <c r="T53" s="76"/>
      <c r="U53" s="76"/>
      <c r="V53" s="114">
        <f aca="true" t="shared" si="20" ref="V53:AA53">$N53*P53</f>
        <v>0</v>
      </c>
      <c r="W53" s="114">
        <f t="shared" si="20"/>
        <v>0</v>
      </c>
      <c r="X53" s="114">
        <f t="shared" si="20"/>
        <v>0</v>
      </c>
      <c r="Y53" s="114">
        <f t="shared" si="20"/>
        <v>0</v>
      </c>
      <c r="Z53" s="114">
        <f t="shared" si="20"/>
        <v>0</v>
      </c>
      <c r="AA53" s="114">
        <f t="shared" si="20"/>
        <v>0</v>
      </c>
      <c r="AB53" s="76"/>
    </row>
    <row r="54" spans="3:28" s="55" customFormat="1" ht="12.75">
      <c r="C54" s="105"/>
      <c r="D54" s="76"/>
      <c r="G54" s="76"/>
      <c r="I54" s="249"/>
      <c r="K54" s="237"/>
      <c r="M54" s="110"/>
      <c r="N54" s="250"/>
      <c r="O54" s="104"/>
      <c r="P54" s="76"/>
      <c r="Q54" s="76"/>
      <c r="R54" s="76"/>
      <c r="S54" s="76"/>
      <c r="T54" s="76"/>
      <c r="U54" s="76"/>
      <c r="V54" s="58"/>
      <c r="W54" s="58"/>
      <c r="X54" s="58"/>
      <c r="Y54" s="58"/>
      <c r="Z54" s="58"/>
      <c r="AA54" s="58"/>
      <c r="AB54" s="76"/>
    </row>
    <row r="55" spans="9:14" s="3" customFormat="1" ht="12.75">
      <c r="I55" s="241"/>
      <c r="K55" s="241"/>
      <c r="M55" s="63"/>
      <c r="N55" s="241"/>
    </row>
    <row r="56" spans="9:14" s="3" customFormat="1" ht="12.75">
      <c r="I56" s="241"/>
      <c r="K56" s="241"/>
      <c r="M56" s="64"/>
      <c r="N56" s="241"/>
    </row>
    <row r="57" spans="3:14" s="3" customFormat="1" ht="12.75">
      <c r="C57" s="7" t="s">
        <v>56</v>
      </c>
      <c r="D57" s="3" t="s">
        <v>369</v>
      </c>
      <c r="I57" s="241"/>
      <c r="K57" s="241"/>
      <c r="M57" s="64"/>
      <c r="N57" s="251"/>
    </row>
    <row r="58" spans="3:14" s="3" customFormat="1" ht="12.75">
      <c r="C58" s="7"/>
      <c r="D58" s="36" t="s">
        <v>357</v>
      </c>
      <c r="I58" s="241"/>
      <c r="K58" s="241"/>
      <c r="M58" s="63"/>
      <c r="N58" s="241"/>
    </row>
    <row r="76" ht="12.75">
      <c r="J76">
        <f>16/127</f>
        <v>0.12598425196850394</v>
      </c>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3"/>
  <headerFooter>
    <oddFooter>&amp;L&amp;A
Printed &amp;D</oddFooter>
  </headerFooter>
  <legacyDrawing r:id="rId2"/>
</worksheet>
</file>

<file path=xl/worksheets/sheet30.xml><?xml version="1.0" encoding="utf-8"?>
<worksheet xmlns="http://schemas.openxmlformats.org/spreadsheetml/2006/main" xmlns:r="http://schemas.openxmlformats.org/officeDocument/2006/relationships">
  <dimension ref="A1:AB61"/>
  <sheetViews>
    <sheetView zoomScalePageLayoutView="0" workbookViewId="0" topLeftCell="E1">
      <selection activeCell="E31" sqref="E31"/>
    </sheetView>
  </sheetViews>
  <sheetFormatPr defaultColWidth="9.140625" defaultRowHeight="12.75"/>
  <cols>
    <col min="1" max="1" width="3.00390625" style="0" customWidth="1"/>
    <col min="2" max="2" width="6.140625" style="0" customWidth="1"/>
    <col min="3" max="3" width="32.00390625" style="0" customWidth="1"/>
    <col min="4" max="4" width="8.28125" style="0" customWidth="1"/>
    <col min="5" max="5" width="14.421875" style="0" customWidth="1"/>
    <col min="6" max="6" width="12.00390625" style="0" customWidth="1"/>
    <col min="7" max="7" width="10.28125" style="0" customWidth="1"/>
    <col min="8" max="8" width="11.421875" style="0" customWidth="1"/>
    <col min="9" max="9" width="12.57421875" style="242" customWidth="1"/>
    <col min="10" max="10" width="20.00390625" style="0" customWidth="1"/>
    <col min="11" max="11" width="11.28125" style="0" customWidth="1"/>
    <col min="12" max="12" width="7.57421875" style="0" customWidth="1"/>
    <col min="13" max="13" width="25.7109375" style="13" customWidth="1"/>
    <col min="14" max="14" width="9.140625" style="242" customWidth="1"/>
    <col min="15" max="15" width="10.28125" style="0" customWidth="1"/>
    <col min="16" max="16" width="5.7109375" style="0" customWidth="1"/>
    <col min="17" max="17" width="6.421875" style="0" customWidth="1"/>
    <col min="18" max="18" width="5.00390625" style="0" customWidth="1"/>
    <col min="19" max="19" width="8.421875" style="0" customWidth="1"/>
    <col min="21" max="21" width="17.574218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63.421875" style="0" customWidth="1"/>
  </cols>
  <sheetData>
    <row r="1" spans="1:14" ht="18">
      <c r="A1" s="1" t="s">
        <v>34</v>
      </c>
      <c r="I1" s="232"/>
      <c r="L1" s="48"/>
      <c r="M1" s="48"/>
      <c r="N1" s="232"/>
    </row>
    <row r="2" spans="1:14" ht="15">
      <c r="A2" s="54" t="s">
        <v>322</v>
      </c>
      <c r="I2" s="232"/>
      <c r="L2" s="48"/>
      <c r="M2" s="48"/>
      <c r="N2" s="232"/>
    </row>
    <row r="3" spans="4:28" s="5" customFormat="1" ht="12.75">
      <c r="D3" s="7"/>
      <c r="E3" s="7"/>
      <c r="F3" s="7"/>
      <c r="G3" s="7"/>
      <c r="H3" s="7"/>
      <c r="I3" s="257"/>
      <c r="J3" s="7"/>
      <c r="K3" s="7"/>
      <c r="L3" s="139"/>
      <c r="M3" s="30"/>
      <c r="N3" s="257"/>
      <c r="O3" s="7"/>
      <c r="P3" s="65" t="s">
        <v>55</v>
      </c>
      <c r="Q3" s="65"/>
      <c r="R3" s="65"/>
      <c r="S3" s="65"/>
      <c r="T3" s="65"/>
      <c r="U3" s="65"/>
      <c r="V3" s="10" t="s">
        <v>54</v>
      </c>
      <c r="W3" s="103"/>
      <c r="X3" s="103"/>
      <c r="Y3" s="103"/>
      <c r="Z3" s="103"/>
      <c r="AA3" s="103"/>
      <c r="AB3" s="65"/>
    </row>
    <row r="4" spans="1:28" s="144" customFormat="1" ht="38.25">
      <c r="A4" s="144" t="s">
        <v>52</v>
      </c>
      <c r="B4" s="144" t="s">
        <v>50</v>
      </c>
      <c r="C4" s="134" t="s">
        <v>59</v>
      </c>
      <c r="D4" s="112" t="s">
        <v>159</v>
      </c>
      <c r="E4" s="134" t="s">
        <v>49</v>
      </c>
      <c r="F4" s="143" t="s">
        <v>35</v>
      </c>
      <c r="G4" s="112" t="s">
        <v>37</v>
      </c>
      <c r="H4" s="143" t="s">
        <v>35</v>
      </c>
      <c r="I4" s="247" t="s">
        <v>51</v>
      </c>
      <c r="J4" s="144" t="s">
        <v>35</v>
      </c>
      <c r="K4" s="84" t="s">
        <v>61</v>
      </c>
      <c r="L4" s="139" t="s">
        <v>35</v>
      </c>
      <c r="M4" s="146" t="s">
        <v>219</v>
      </c>
      <c r="N4" s="247" t="s">
        <v>94</v>
      </c>
      <c r="O4" s="143" t="s">
        <v>35</v>
      </c>
      <c r="P4" s="111" t="s">
        <v>38</v>
      </c>
      <c r="Q4" s="111" t="s">
        <v>39</v>
      </c>
      <c r="R4" s="111" t="s">
        <v>40</v>
      </c>
      <c r="S4" s="111" t="s">
        <v>41</v>
      </c>
      <c r="T4" s="112" t="s">
        <v>42</v>
      </c>
      <c r="U4" s="112" t="s">
        <v>237</v>
      </c>
      <c r="V4" s="56" t="s">
        <v>38</v>
      </c>
      <c r="W4" s="56" t="s">
        <v>39</v>
      </c>
      <c r="X4" s="56" t="s">
        <v>40</v>
      </c>
      <c r="Y4" s="56" t="s">
        <v>41</v>
      </c>
      <c r="Z4" s="57" t="s">
        <v>42</v>
      </c>
      <c r="AA4" s="57" t="s">
        <v>237</v>
      </c>
      <c r="AB4" s="111" t="s">
        <v>89</v>
      </c>
    </row>
    <row r="5" spans="1:28" s="129" customFormat="1" ht="38.25">
      <c r="A5" s="129" t="s">
        <v>299</v>
      </c>
      <c r="C5" s="134" t="s">
        <v>293</v>
      </c>
      <c r="D5" s="111"/>
      <c r="F5" s="128"/>
      <c r="G5" s="76"/>
      <c r="H5" s="128"/>
      <c r="I5" s="249"/>
      <c r="K5" s="113"/>
      <c r="L5" s="128"/>
      <c r="M5" s="135"/>
      <c r="N5" s="249"/>
      <c r="O5" s="128"/>
      <c r="P5" s="76"/>
      <c r="Q5" s="76"/>
      <c r="R5" s="76"/>
      <c r="S5" s="76"/>
      <c r="T5" s="76"/>
      <c r="U5" s="76"/>
      <c r="V5" s="58"/>
      <c r="W5" s="58"/>
      <c r="X5" s="58"/>
      <c r="Y5" s="58"/>
      <c r="Z5" s="58"/>
      <c r="AA5" s="58"/>
      <c r="AB5" s="76"/>
    </row>
    <row r="6" spans="2:28" ht="12.75">
      <c r="B6" t="s">
        <v>300</v>
      </c>
      <c r="C6" s="12" t="s">
        <v>330</v>
      </c>
      <c r="D6" s="76"/>
      <c r="E6" s="6" t="s">
        <v>206</v>
      </c>
      <c r="F6" s="3" t="s">
        <v>345</v>
      </c>
      <c r="G6" s="76">
        <v>5</v>
      </c>
      <c r="H6" s="3" t="s">
        <v>345</v>
      </c>
      <c r="I6" s="250">
        <f>'Step5-Waste treatment+recycling'!$C$20</f>
        <v>0</v>
      </c>
      <c r="J6" s="3" t="s">
        <v>346</v>
      </c>
      <c r="K6" s="304">
        <f>G6*I6/1000</f>
        <v>0</v>
      </c>
      <c r="L6" s="3" t="s">
        <v>36</v>
      </c>
      <c r="M6" s="107"/>
      <c r="N6" s="263">
        <f>K6</f>
        <v>0</v>
      </c>
      <c r="O6" s="3" t="s">
        <v>36</v>
      </c>
      <c r="P6" s="288">
        <v>0.01</v>
      </c>
      <c r="Q6" s="477">
        <v>0.0001</v>
      </c>
      <c r="R6" s="288"/>
      <c r="S6" s="457"/>
      <c r="T6" s="457"/>
      <c r="U6" s="457"/>
      <c r="V6" s="342">
        <f>$N6*P6</f>
        <v>0</v>
      </c>
      <c r="W6" s="342">
        <f>$N6*Q6</f>
        <v>0</v>
      </c>
      <c r="X6" s="342">
        <f>$N6*R6</f>
        <v>0</v>
      </c>
      <c r="Y6" s="201" t="s">
        <v>282</v>
      </c>
      <c r="Z6" s="201" t="s">
        <v>282</v>
      </c>
      <c r="AA6" s="201" t="s">
        <v>282</v>
      </c>
      <c r="AB6" s="76"/>
    </row>
    <row r="7" spans="1:28" s="55" customFormat="1" ht="12.75">
      <c r="A7" s="104"/>
      <c r="B7" s="104"/>
      <c r="C7" s="136"/>
      <c r="D7" s="111"/>
      <c r="E7" s="106"/>
      <c r="F7" s="104"/>
      <c r="G7" s="76"/>
      <c r="H7" s="104"/>
      <c r="I7" s="250"/>
      <c r="K7" s="195"/>
      <c r="L7" s="104"/>
      <c r="M7" s="107"/>
      <c r="N7" s="250"/>
      <c r="O7" s="104"/>
      <c r="P7" s="130"/>
      <c r="Q7" s="130"/>
      <c r="R7" s="130"/>
      <c r="S7" s="130"/>
      <c r="T7" s="130"/>
      <c r="U7" s="130"/>
      <c r="V7" s="202"/>
      <c r="W7" s="202"/>
      <c r="X7" s="202"/>
      <c r="Y7" s="202"/>
      <c r="Z7" s="202"/>
      <c r="AA7" s="202"/>
      <c r="AB7" s="76"/>
    </row>
    <row r="8" spans="2:28" ht="28.5">
      <c r="B8" s="3" t="s">
        <v>301</v>
      </c>
      <c r="C8" s="72" t="s">
        <v>292</v>
      </c>
      <c r="D8" s="194" t="s">
        <v>282</v>
      </c>
      <c r="E8" s="75" t="s">
        <v>282</v>
      </c>
      <c r="F8" s="75" t="s">
        <v>282</v>
      </c>
      <c r="G8" s="189" t="s">
        <v>282</v>
      </c>
      <c r="H8" s="75" t="s">
        <v>282</v>
      </c>
      <c r="I8" s="261"/>
      <c r="J8" s="75" t="s">
        <v>282</v>
      </c>
      <c r="K8" s="305" t="s">
        <v>282</v>
      </c>
      <c r="L8" s="75" t="s">
        <v>282</v>
      </c>
      <c r="M8" s="14"/>
      <c r="N8" s="261" t="s">
        <v>282</v>
      </c>
      <c r="O8" s="3"/>
      <c r="P8" s="189" t="s">
        <v>282</v>
      </c>
      <c r="Q8" s="189" t="s">
        <v>282</v>
      </c>
      <c r="R8" s="189" t="s">
        <v>282</v>
      </c>
      <c r="S8" s="189" t="s">
        <v>282</v>
      </c>
      <c r="T8" s="189" t="s">
        <v>282</v>
      </c>
      <c r="U8" s="189" t="s">
        <v>282</v>
      </c>
      <c r="V8" s="201" t="s">
        <v>282</v>
      </c>
      <c r="W8" s="201" t="s">
        <v>282</v>
      </c>
      <c r="X8" s="201" t="s">
        <v>282</v>
      </c>
      <c r="Y8" s="201" t="s">
        <v>282</v>
      </c>
      <c r="Z8" s="201" t="s">
        <v>282</v>
      </c>
      <c r="AA8" s="201" t="s">
        <v>282</v>
      </c>
      <c r="AB8" s="76"/>
    </row>
    <row r="9" spans="1:28" ht="12.75">
      <c r="A9" s="3"/>
      <c r="C9" s="74" t="s">
        <v>294</v>
      </c>
      <c r="D9" s="76"/>
      <c r="E9" s="18"/>
      <c r="F9" s="3"/>
      <c r="G9" s="76"/>
      <c r="H9" s="3"/>
      <c r="I9" s="250"/>
      <c r="J9" s="3"/>
      <c r="K9" s="195"/>
      <c r="L9" s="3"/>
      <c r="M9" s="15"/>
      <c r="N9" s="250"/>
      <c r="O9" s="3"/>
      <c r="P9" s="131"/>
      <c r="Q9" s="131"/>
      <c r="R9" s="131"/>
      <c r="S9" s="131"/>
      <c r="T9" s="131"/>
      <c r="U9" s="131"/>
      <c r="V9" s="202"/>
      <c r="W9" s="202"/>
      <c r="X9" s="202"/>
      <c r="Y9" s="202"/>
      <c r="Z9" s="202"/>
      <c r="AA9" s="202"/>
      <c r="AB9" s="76"/>
    </row>
    <row r="10" spans="1:28" s="55" customFormat="1" ht="12.75">
      <c r="A10" s="104"/>
      <c r="B10" s="104"/>
      <c r="C10" s="105"/>
      <c r="D10" s="76"/>
      <c r="E10" s="106"/>
      <c r="F10" s="104"/>
      <c r="G10" s="76"/>
      <c r="H10" s="104"/>
      <c r="I10" s="250"/>
      <c r="K10" s="195"/>
      <c r="L10" s="104"/>
      <c r="M10" s="107"/>
      <c r="N10" s="250"/>
      <c r="O10" s="104"/>
      <c r="P10" s="130"/>
      <c r="Q10" s="130"/>
      <c r="R10" s="130"/>
      <c r="S10" s="130"/>
      <c r="T10" s="130"/>
      <c r="U10" s="127"/>
      <c r="V10" s="202"/>
      <c r="W10" s="202"/>
      <c r="X10" s="202"/>
      <c r="Y10" s="202"/>
      <c r="Z10" s="202"/>
      <c r="AA10" s="202"/>
      <c r="AB10" s="76"/>
    </row>
    <row r="11" spans="2:28" ht="28.5">
      <c r="B11" s="3" t="s">
        <v>302</v>
      </c>
      <c r="C11" s="72" t="s">
        <v>295</v>
      </c>
      <c r="D11" s="111"/>
      <c r="E11" s="43" t="s">
        <v>282</v>
      </c>
      <c r="F11" s="47" t="s">
        <v>282</v>
      </c>
      <c r="G11" s="189" t="s">
        <v>282</v>
      </c>
      <c r="H11" s="47" t="s">
        <v>282</v>
      </c>
      <c r="I11" s="254"/>
      <c r="J11" s="47" t="s">
        <v>282</v>
      </c>
      <c r="K11" s="306" t="s">
        <v>282</v>
      </c>
      <c r="L11" s="47" t="s">
        <v>282</v>
      </c>
      <c r="M11" s="14"/>
      <c r="N11" s="250"/>
      <c r="O11" s="3" t="s">
        <v>36</v>
      </c>
      <c r="P11" s="131" t="s">
        <v>43</v>
      </c>
      <c r="Q11" s="131" t="s">
        <v>43</v>
      </c>
      <c r="R11" s="131" t="s">
        <v>43</v>
      </c>
      <c r="S11" s="193" t="s">
        <v>282</v>
      </c>
      <c r="T11" s="193" t="s">
        <v>282</v>
      </c>
      <c r="U11" s="193" t="s">
        <v>282</v>
      </c>
      <c r="V11" s="200" t="e">
        <f>$N11*P11</f>
        <v>#VALUE!</v>
      </c>
      <c r="W11" s="200" t="e">
        <f>$N11*Q11</f>
        <v>#VALUE!</v>
      </c>
      <c r="X11" s="200" t="e">
        <f>$N11*R11</f>
        <v>#VALUE!</v>
      </c>
      <c r="Y11" s="201" t="s">
        <v>282</v>
      </c>
      <c r="Z11" s="201" t="s">
        <v>282</v>
      </c>
      <c r="AA11" s="201" t="s">
        <v>282</v>
      </c>
      <c r="AB11" s="76"/>
    </row>
    <row r="12" spans="1:28" s="55" customFormat="1" ht="12.75">
      <c r="A12" s="104"/>
      <c r="B12" s="104"/>
      <c r="C12" s="136"/>
      <c r="D12" s="76"/>
      <c r="E12" s="106"/>
      <c r="F12" s="104"/>
      <c r="G12" s="76"/>
      <c r="H12" s="104"/>
      <c r="I12" s="250"/>
      <c r="K12" s="195"/>
      <c r="L12" s="104"/>
      <c r="M12" s="107"/>
      <c r="N12" s="250"/>
      <c r="O12" s="104"/>
      <c r="P12" s="130"/>
      <c r="Q12" s="130"/>
      <c r="R12" s="130"/>
      <c r="S12" s="130"/>
      <c r="T12" s="130"/>
      <c r="U12" s="127"/>
      <c r="V12" s="202"/>
      <c r="W12" s="202"/>
      <c r="X12" s="202"/>
      <c r="Y12" s="202"/>
      <c r="Z12" s="202"/>
      <c r="AA12" s="202"/>
      <c r="AB12" s="76"/>
    </row>
    <row r="13" spans="1:28" ht="28.5">
      <c r="A13" s="3"/>
      <c r="B13" s="3" t="s">
        <v>303</v>
      </c>
      <c r="C13" s="72" t="s">
        <v>331</v>
      </c>
      <c r="D13" s="76"/>
      <c r="E13" s="6" t="s">
        <v>206</v>
      </c>
      <c r="F13" s="3" t="s">
        <v>345</v>
      </c>
      <c r="G13" s="76">
        <v>5</v>
      </c>
      <c r="H13" s="3" t="s">
        <v>345</v>
      </c>
      <c r="I13" s="250">
        <f>'Step5-Waste treatment+recycling'!C21</f>
        <v>0</v>
      </c>
      <c r="J13" s="3" t="s">
        <v>347</v>
      </c>
      <c r="K13" s="304">
        <f>G13*I13/1000</f>
        <v>0</v>
      </c>
      <c r="L13" s="3" t="s">
        <v>36</v>
      </c>
      <c r="M13" s="15"/>
      <c r="N13" s="250">
        <f>K13</f>
        <v>0</v>
      </c>
      <c r="O13" s="3" t="s">
        <v>36</v>
      </c>
      <c r="P13" s="288">
        <v>0.1</v>
      </c>
      <c r="Q13" s="288">
        <v>0.1</v>
      </c>
      <c r="R13" s="288">
        <v>0.8</v>
      </c>
      <c r="S13" s="457"/>
      <c r="T13" s="457"/>
      <c r="U13" s="457"/>
      <c r="V13" s="200">
        <f>$N13*P13</f>
        <v>0</v>
      </c>
      <c r="W13" s="200">
        <f>$N13*Q13</f>
        <v>0</v>
      </c>
      <c r="X13" s="200">
        <f>$N13*R13</f>
        <v>0</v>
      </c>
      <c r="Y13" s="201" t="s">
        <v>282</v>
      </c>
      <c r="Z13" s="201" t="s">
        <v>282</v>
      </c>
      <c r="AA13" s="201" t="s">
        <v>282</v>
      </c>
      <c r="AB13" s="76"/>
    </row>
    <row r="14" spans="1:28" s="55" customFormat="1" ht="12.75">
      <c r="A14" s="104"/>
      <c r="B14" s="104"/>
      <c r="C14" s="136"/>
      <c r="D14" s="111"/>
      <c r="E14" s="149"/>
      <c r="F14" s="104"/>
      <c r="G14" s="76"/>
      <c r="H14" s="104"/>
      <c r="I14" s="250"/>
      <c r="K14" s="195"/>
      <c r="L14" s="104"/>
      <c r="M14" s="138"/>
      <c r="N14" s="250"/>
      <c r="O14" s="104"/>
      <c r="P14" s="130"/>
      <c r="Q14" s="130"/>
      <c r="R14" s="130"/>
      <c r="S14" s="130"/>
      <c r="T14" s="130"/>
      <c r="U14" s="127"/>
      <c r="V14" s="202"/>
      <c r="W14" s="202"/>
      <c r="X14" s="202"/>
      <c r="Y14" s="202"/>
      <c r="Z14" s="202"/>
      <c r="AA14" s="202"/>
      <c r="AB14" s="76"/>
    </row>
    <row r="15" spans="2:28" ht="12.75">
      <c r="B15" s="3" t="s">
        <v>304</v>
      </c>
      <c r="C15" s="12" t="s">
        <v>296</v>
      </c>
      <c r="D15" s="111"/>
      <c r="F15" s="3"/>
      <c r="G15" s="76"/>
      <c r="H15" s="3"/>
      <c r="I15" s="249"/>
      <c r="K15" s="307"/>
      <c r="L15" s="3"/>
      <c r="M15" s="14"/>
      <c r="N15" s="249"/>
      <c r="O15" s="3"/>
      <c r="P15" s="127"/>
      <c r="Q15" s="127"/>
      <c r="R15" s="127"/>
      <c r="S15" s="127"/>
      <c r="T15" s="127"/>
      <c r="U15" s="127"/>
      <c r="V15" s="200">
        <f aca="true" t="shared" si="0" ref="V15:AA15">SUM(V16:V19)</f>
        <v>0</v>
      </c>
      <c r="W15" s="200">
        <f t="shared" si="0"/>
        <v>0</v>
      </c>
      <c r="X15" s="200">
        <f t="shared" si="0"/>
        <v>0</v>
      </c>
      <c r="Y15" s="200">
        <f t="shared" si="0"/>
        <v>0</v>
      </c>
      <c r="Z15" s="200">
        <f t="shared" si="0"/>
        <v>0</v>
      </c>
      <c r="AA15" s="200">
        <f t="shared" si="0"/>
        <v>0</v>
      </c>
      <c r="AB15" s="76"/>
    </row>
    <row r="16" spans="1:28" ht="25.5">
      <c r="A16" s="3"/>
      <c r="D16" s="76"/>
      <c r="E16" s="6" t="s">
        <v>309</v>
      </c>
      <c r="F16" s="53" t="s">
        <v>311</v>
      </c>
      <c r="G16" s="76">
        <v>5.25</v>
      </c>
      <c r="H16" s="53" t="s">
        <v>311</v>
      </c>
      <c r="I16" s="250">
        <f>'Step5-Waste treatment+recycling'!C23</f>
        <v>0</v>
      </c>
      <c r="J16" s="3" t="s">
        <v>310</v>
      </c>
      <c r="K16" s="195">
        <f>G16*I16/1000000</f>
        <v>0</v>
      </c>
      <c r="L16" s="3" t="s">
        <v>36</v>
      </c>
      <c r="M16" s="15" t="s">
        <v>305</v>
      </c>
      <c r="N16" s="250"/>
      <c r="O16" s="3" t="s">
        <v>36</v>
      </c>
      <c r="P16" s="131"/>
      <c r="Q16" s="131">
        <v>1</v>
      </c>
      <c r="R16" s="131"/>
      <c r="S16" s="131"/>
      <c r="T16" s="131"/>
      <c r="U16" s="131"/>
      <c r="V16" s="202">
        <f aca="true" t="shared" si="1" ref="V16:AA19">$N16*P16</f>
        <v>0</v>
      </c>
      <c r="W16" s="202">
        <f t="shared" si="1"/>
        <v>0</v>
      </c>
      <c r="X16" s="202">
        <f t="shared" si="1"/>
        <v>0</v>
      </c>
      <c r="Y16" s="202">
        <f t="shared" si="1"/>
        <v>0</v>
      </c>
      <c r="Z16" s="202">
        <f t="shared" si="1"/>
        <v>0</v>
      </c>
      <c r="AA16" s="202">
        <f t="shared" si="1"/>
        <v>0</v>
      </c>
      <c r="AB16" s="76"/>
    </row>
    <row r="17" spans="1:28" ht="12.75">
      <c r="A17" s="3"/>
      <c r="B17" s="3"/>
      <c r="D17" s="76"/>
      <c r="E17" s="6"/>
      <c r="F17" s="3"/>
      <c r="G17" s="76"/>
      <c r="H17" s="3"/>
      <c r="I17" s="250"/>
      <c r="K17" s="115"/>
      <c r="L17" s="3"/>
      <c r="M17" s="15" t="s">
        <v>306</v>
      </c>
      <c r="N17" s="250">
        <f>K16</f>
        <v>0</v>
      </c>
      <c r="O17" s="3" t="s">
        <v>36</v>
      </c>
      <c r="P17" s="131"/>
      <c r="Q17" s="131">
        <v>0.9</v>
      </c>
      <c r="R17" s="131"/>
      <c r="S17" s="131"/>
      <c r="T17" s="131">
        <v>0.1</v>
      </c>
      <c r="U17" s="131"/>
      <c r="V17" s="202">
        <f t="shared" si="1"/>
        <v>0</v>
      </c>
      <c r="W17" s="202">
        <f t="shared" si="1"/>
        <v>0</v>
      </c>
      <c r="X17" s="202">
        <f t="shared" si="1"/>
        <v>0</v>
      </c>
      <c r="Y17" s="202">
        <f t="shared" si="1"/>
        <v>0</v>
      </c>
      <c r="Z17" s="202">
        <f t="shared" si="1"/>
        <v>0</v>
      </c>
      <c r="AA17" s="202">
        <f t="shared" si="1"/>
        <v>0</v>
      </c>
      <c r="AB17" s="76"/>
    </row>
    <row r="18" spans="1:28" ht="38.25">
      <c r="A18" s="3"/>
      <c r="B18" s="3"/>
      <c r="D18" s="76"/>
      <c r="E18" s="6"/>
      <c r="F18" s="3"/>
      <c r="G18" s="76"/>
      <c r="H18" s="3"/>
      <c r="I18" s="250"/>
      <c r="K18" s="116"/>
      <c r="L18" s="3"/>
      <c r="M18" s="15" t="s">
        <v>307</v>
      </c>
      <c r="N18" s="250"/>
      <c r="O18" s="3" t="s">
        <v>36</v>
      </c>
      <c r="P18" s="131"/>
      <c r="Q18" s="131">
        <v>0.5</v>
      </c>
      <c r="R18" s="131"/>
      <c r="S18" s="131"/>
      <c r="T18" s="131">
        <v>0.3</v>
      </c>
      <c r="U18" s="131">
        <v>0.2</v>
      </c>
      <c r="V18" s="202">
        <f t="shared" si="1"/>
        <v>0</v>
      </c>
      <c r="W18" s="202">
        <f t="shared" si="1"/>
        <v>0</v>
      </c>
      <c r="X18" s="202">
        <f t="shared" si="1"/>
        <v>0</v>
      </c>
      <c r="Y18" s="202">
        <f t="shared" si="1"/>
        <v>0</v>
      </c>
      <c r="Z18" s="202">
        <f t="shared" si="1"/>
        <v>0</v>
      </c>
      <c r="AA18" s="202">
        <f t="shared" si="1"/>
        <v>0</v>
      </c>
      <c r="AB18" s="76"/>
    </row>
    <row r="19" spans="1:28" s="55" customFormat="1" ht="51">
      <c r="A19" s="104"/>
      <c r="B19" s="104"/>
      <c r="D19" s="76"/>
      <c r="E19" s="106"/>
      <c r="F19" s="104"/>
      <c r="G19" s="76"/>
      <c r="H19" s="104"/>
      <c r="I19" s="250"/>
      <c r="J19" s="473"/>
      <c r="K19" s="116"/>
      <c r="L19" s="104"/>
      <c r="M19" s="107" t="s">
        <v>308</v>
      </c>
      <c r="N19" s="250"/>
      <c r="O19" s="104" t="s">
        <v>36</v>
      </c>
      <c r="P19" s="131"/>
      <c r="Q19" s="131">
        <v>0.5</v>
      </c>
      <c r="R19" s="131">
        <v>0.2</v>
      </c>
      <c r="S19" s="131"/>
      <c r="T19" s="131">
        <v>0.15</v>
      </c>
      <c r="U19" s="131">
        <v>0.15</v>
      </c>
      <c r="V19" s="202">
        <f t="shared" si="1"/>
        <v>0</v>
      </c>
      <c r="W19" s="202">
        <f t="shared" si="1"/>
        <v>0</v>
      </c>
      <c r="X19" s="202">
        <f t="shared" si="1"/>
        <v>0</v>
      </c>
      <c r="Y19" s="202">
        <f t="shared" si="1"/>
        <v>0</v>
      </c>
      <c r="Z19" s="202">
        <f t="shared" si="1"/>
        <v>0</v>
      </c>
      <c r="AA19" s="202">
        <f t="shared" si="1"/>
        <v>0</v>
      </c>
      <c r="AB19" s="76"/>
    </row>
    <row r="20" spans="3:28" ht="12.75">
      <c r="C20" s="5"/>
      <c r="D20" s="5"/>
      <c r="G20" s="3"/>
      <c r="H20" s="3"/>
      <c r="I20" s="241"/>
      <c r="J20" s="3"/>
      <c r="K20" s="3"/>
      <c r="M20" s="32"/>
      <c r="N20" s="251"/>
      <c r="O20" s="3"/>
      <c r="P20" s="196"/>
      <c r="Q20" s="196"/>
      <c r="R20" s="196"/>
      <c r="S20" s="196"/>
      <c r="T20" s="196"/>
      <c r="U20" s="196"/>
      <c r="V20" s="196"/>
      <c r="W20" s="196"/>
      <c r="X20" s="196"/>
      <c r="Y20" s="196"/>
      <c r="Z20" s="196"/>
      <c r="AA20" s="196"/>
      <c r="AB20" s="3"/>
    </row>
    <row r="21" spans="3:28" ht="12.75">
      <c r="C21" s="5" t="s">
        <v>56</v>
      </c>
      <c r="G21" s="3"/>
      <c r="H21" s="3"/>
      <c r="I21" s="241"/>
      <c r="J21" s="3"/>
      <c r="K21" s="3"/>
      <c r="M21" s="32"/>
      <c r="N21" s="251"/>
      <c r="O21" s="3"/>
      <c r="P21" s="3"/>
      <c r="Q21" s="3"/>
      <c r="R21" s="3"/>
      <c r="S21" s="3"/>
      <c r="T21" s="3"/>
      <c r="U21" s="3"/>
      <c r="V21" s="3"/>
      <c r="W21" s="3"/>
      <c r="X21" s="3"/>
      <c r="Y21" s="3"/>
      <c r="Z21" s="3"/>
      <c r="AA21" s="3"/>
      <c r="AB21" s="3"/>
    </row>
    <row r="22" spans="3:28" ht="12.75">
      <c r="C22" s="8" t="s">
        <v>297</v>
      </c>
      <c r="G22" s="3"/>
      <c r="H22" s="3"/>
      <c r="I22" s="241"/>
      <c r="J22" s="3"/>
      <c r="K22" s="3"/>
      <c r="M22" s="32"/>
      <c r="N22" s="251"/>
      <c r="O22" s="3"/>
      <c r="P22" s="3"/>
      <c r="Q22" s="3"/>
      <c r="R22" s="3"/>
      <c r="S22" s="3"/>
      <c r="T22" s="3"/>
      <c r="U22" s="3"/>
      <c r="V22" s="197"/>
      <c r="W22" s="197"/>
      <c r="X22" s="197"/>
      <c r="Y22" s="197"/>
      <c r="Z22" s="197"/>
      <c r="AA22" s="197"/>
      <c r="AB22" s="3"/>
    </row>
    <row r="23" spans="3:28" s="48" customFormat="1" ht="12.75">
      <c r="C23" s="52" t="s">
        <v>298</v>
      </c>
      <c r="D23" s="37"/>
      <c r="G23" s="28"/>
      <c r="H23" s="28"/>
      <c r="I23" s="259"/>
      <c r="J23" s="28"/>
      <c r="K23" s="28"/>
      <c r="M23" s="34"/>
      <c r="N23" s="258"/>
      <c r="O23" s="17"/>
      <c r="P23" s="28"/>
      <c r="Q23" s="28"/>
      <c r="R23" s="28"/>
      <c r="S23" s="28"/>
      <c r="T23" s="28"/>
      <c r="U23" s="28"/>
      <c r="V23" s="198"/>
      <c r="W23" s="198"/>
      <c r="X23" s="198"/>
      <c r="Y23" s="198"/>
      <c r="Z23" s="198"/>
      <c r="AA23" s="198"/>
      <c r="AB23" s="28"/>
    </row>
    <row r="24" spans="3:28" s="48" customFormat="1" ht="12.75">
      <c r="C24" s="50"/>
      <c r="D24" s="50"/>
      <c r="G24" s="28"/>
      <c r="H24" s="28"/>
      <c r="I24" s="259"/>
      <c r="J24" s="28"/>
      <c r="K24" s="28"/>
      <c r="M24" s="34"/>
      <c r="N24" s="258"/>
      <c r="O24" s="28"/>
      <c r="P24" s="28"/>
      <c r="Q24" s="28"/>
      <c r="R24" s="28"/>
      <c r="S24" s="28"/>
      <c r="T24" s="28"/>
      <c r="U24" s="28"/>
      <c r="V24" s="198"/>
      <c r="W24" s="198"/>
      <c r="X24" s="198"/>
      <c r="Y24" s="198"/>
      <c r="Z24" s="198"/>
      <c r="AA24" s="198"/>
      <c r="AB24" s="28"/>
    </row>
    <row r="25" spans="3:28" s="48" customFormat="1" ht="12.75">
      <c r="C25" s="28"/>
      <c r="D25" s="28"/>
      <c r="G25" s="28"/>
      <c r="H25" s="28"/>
      <c r="I25" s="259"/>
      <c r="J25" s="28"/>
      <c r="K25" s="28"/>
      <c r="M25" s="32"/>
      <c r="N25" s="258"/>
      <c r="O25" s="28"/>
      <c r="P25" s="28"/>
      <c r="Q25" s="28"/>
      <c r="R25" s="28"/>
      <c r="S25" s="28"/>
      <c r="T25" s="28"/>
      <c r="U25" s="28"/>
      <c r="V25" s="199"/>
      <c r="W25" s="199"/>
      <c r="X25" s="199"/>
      <c r="Y25" s="199"/>
      <c r="Z25" s="199"/>
      <c r="AA25" s="199"/>
      <c r="AB25" s="28"/>
    </row>
    <row r="26" spans="3:28" s="48" customFormat="1" ht="12.75">
      <c r="C26" s="51"/>
      <c r="G26" s="28"/>
      <c r="H26" s="28"/>
      <c r="I26" s="259"/>
      <c r="J26" s="28"/>
      <c r="K26" s="28"/>
      <c r="M26" s="32"/>
      <c r="N26" s="258"/>
      <c r="O26" s="28"/>
      <c r="P26" s="28"/>
      <c r="Q26" s="28"/>
      <c r="R26" s="28"/>
      <c r="S26" s="28"/>
      <c r="T26" s="28"/>
      <c r="U26" s="28"/>
      <c r="V26" s="28"/>
      <c r="W26" s="28"/>
      <c r="X26" s="28"/>
      <c r="Y26" s="28"/>
      <c r="Z26" s="28"/>
      <c r="AA26" s="28"/>
      <c r="AB26" s="28"/>
    </row>
    <row r="27" spans="3:28" s="48" customFormat="1" ht="12.75">
      <c r="C27" s="35"/>
      <c r="G27" s="28"/>
      <c r="H27" s="28"/>
      <c r="I27" s="259"/>
      <c r="J27" s="28"/>
      <c r="K27" s="28"/>
      <c r="M27" s="34"/>
      <c r="N27" s="258"/>
      <c r="O27" s="17"/>
      <c r="P27" s="28"/>
      <c r="Q27" s="28"/>
      <c r="R27" s="28"/>
      <c r="S27" s="28"/>
      <c r="T27" s="28"/>
      <c r="U27" s="28"/>
      <c r="V27" s="28"/>
      <c r="W27" s="28"/>
      <c r="X27" s="28"/>
      <c r="Y27" s="28"/>
      <c r="Z27" s="28"/>
      <c r="AA27" s="28"/>
      <c r="AB27" s="28"/>
    </row>
    <row r="28" spans="3:28" s="48" customFormat="1" ht="12.75">
      <c r="C28" s="35"/>
      <c r="G28" s="28"/>
      <c r="H28" s="28"/>
      <c r="I28" s="259"/>
      <c r="J28" s="28"/>
      <c r="K28" s="28"/>
      <c r="M28" s="34"/>
      <c r="N28" s="259"/>
      <c r="O28" s="28"/>
      <c r="P28" s="28"/>
      <c r="Q28" s="28"/>
      <c r="R28" s="28"/>
      <c r="S28" s="28"/>
      <c r="T28" s="28"/>
      <c r="U28" s="28"/>
      <c r="V28" s="28"/>
      <c r="W28" s="28"/>
      <c r="X28" s="28"/>
      <c r="Y28" s="28"/>
      <c r="Z28" s="28"/>
      <c r="AA28" s="28"/>
      <c r="AB28" s="28"/>
    </row>
    <row r="29" spans="3:28" ht="12.75">
      <c r="C29" s="35"/>
      <c r="G29" s="3"/>
      <c r="H29" s="3"/>
      <c r="I29" s="241"/>
      <c r="J29" s="3"/>
      <c r="K29" s="3"/>
      <c r="M29" s="34"/>
      <c r="N29" s="241"/>
      <c r="O29" s="3"/>
      <c r="P29" s="3"/>
      <c r="Q29" s="3"/>
      <c r="R29" s="3"/>
      <c r="S29" s="3"/>
      <c r="T29" s="3"/>
      <c r="U29" s="3"/>
      <c r="V29" s="3"/>
      <c r="W29" s="3"/>
      <c r="X29" s="3"/>
      <c r="Y29" s="3"/>
      <c r="Z29" s="3"/>
      <c r="AA29" s="3"/>
      <c r="AB29" s="3"/>
    </row>
    <row r="30" spans="3:28" ht="12.75">
      <c r="C30" s="35"/>
      <c r="G30" s="3"/>
      <c r="H30" s="3"/>
      <c r="I30" s="241"/>
      <c r="J30" s="3"/>
      <c r="K30" s="3"/>
      <c r="M30" s="34"/>
      <c r="N30" s="241"/>
      <c r="O30" s="3"/>
      <c r="P30" s="3"/>
      <c r="Q30" s="3"/>
      <c r="R30" s="3"/>
      <c r="S30" s="3"/>
      <c r="T30" s="3"/>
      <c r="U30" s="3"/>
      <c r="V30" s="3"/>
      <c r="W30" s="3"/>
      <c r="X30" s="3"/>
      <c r="Y30" s="3"/>
      <c r="Z30" s="3"/>
      <c r="AA30" s="3"/>
      <c r="AB30" s="3"/>
    </row>
    <row r="31" spans="7:28" ht="12.75">
      <c r="G31" s="3"/>
      <c r="H31" s="3"/>
      <c r="I31" s="241"/>
      <c r="J31" s="3"/>
      <c r="K31" s="3"/>
      <c r="M31" s="34"/>
      <c r="N31" s="241"/>
      <c r="O31" s="3"/>
      <c r="P31" s="3"/>
      <c r="Q31" s="3"/>
      <c r="R31" s="3"/>
      <c r="S31" s="3"/>
      <c r="T31" s="3"/>
      <c r="U31" s="3"/>
      <c r="V31" s="3"/>
      <c r="W31" s="3"/>
      <c r="X31" s="3"/>
      <c r="Y31" s="3"/>
      <c r="Z31" s="3"/>
      <c r="AA31" s="3"/>
      <c r="AB31" s="3"/>
    </row>
    <row r="32" spans="7:28" ht="12.75">
      <c r="G32" s="3"/>
      <c r="H32" s="3"/>
      <c r="I32" s="241"/>
      <c r="J32" s="3"/>
      <c r="K32" s="3"/>
      <c r="M32" s="16"/>
      <c r="N32" s="241"/>
      <c r="O32" s="3"/>
      <c r="P32" s="3"/>
      <c r="Q32" s="3"/>
      <c r="R32" s="3"/>
      <c r="S32" s="3"/>
      <c r="T32" s="3"/>
      <c r="U32" s="3"/>
      <c r="V32" s="3"/>
      <c r="W32" s="3"/>
      <c r="X32" s="3"/>
      <c r="Y32" s="3"/>
      <c r="Z32" s="3"/>
      <c r="AA32" s="3"/>
      <c r="AB32" s="3"/>
    </row>
    <row r="33" spans="7:28" ht="12.75">
      <c r="G33" s="3"/>
      <c r="H33" s="3"/>
      <c r="I33" s="241"/>
      <c r="J33" s="3"/>
      <c r="K33" s="3"/>
      <c r="M33" s="16"/>
      <c r="N33" s="241"/>
      <c r="O33" s="3"/>
      <c r="P33" s="3"/>
      <c r="Q33" s="3"/>
      <c r="R33" s="3"/>
      <c r="S33" s="3"/>
      <c r="T33" s="3"/>
      <c r="U33" s="3"/>
      <c r="V33" s="3"/>
      <c r="W33" s="3"/>
      <c r="X33" s="3"/>
      <c r="Y33" s="3"/>
      <c r="Z33" s="3"/>
      <c r="AA33" s="3"/>
      <c r="AB33" s="3"/>
    </row>
    <row r="34" spans="7:28" ht="12.75">
      <c r="G34" s="3"/>
      <c r="H34" s="3"/>
      <c r="I34" s="241"/>
      <c r="J34" s="3"/>
      <c r="K34" s="3"/>
      <c r="M34" s="16"/>
      <c r="N34" s="241"/>
      <c r="O34" s="3"/>
      <c r="P34" s="3"/>
      <c r="Q34" s="3"/>
      <c r="R34" s="3"/>
      <c r="S34" s="3"/>
      <c r="T34" s="3"/>
      <c r="U34" s="3"/>
      <c r="V34" s="3"/>
      <c r="W34" s="3"/>
      <c r="X34" s="3"/>
      <c r="Y34" s="3"/>
      <c r="Z34" s="3"/>
      <c r="AA34" s="3"/>
      <c r="AB34" s="3"/>
    </row>
    <row r="35" spans="7:28" ht="12.75">
      <c r="G35" s="3"/>
      <c r="H35" s="3"/>
      <c r="I35" s="241"/>
      <c r="J35" s="3"/>
      <c r="K35" s="3"/>
      <c r="M35" s="16"/>
      <c r="N35" s="241"/>
      <c r="O35" s="3"/>
      <c r="P35" s="3"/>
      <c r="Q35" s="3"/>
      <c r="R35" s="3"/>
      <c r="S35" s="3"/>
      <c r="T35" s="3"/>
      <c r="U35" s="3"/>
      <c r="V35" s="3"/>
      <c r="W35" s="3"/>
      <c r="X35" s="3"/>
      <c r="Y35" s="3"/>
      <c r="Z35" s="3"/>
      <c r="AA35" s="3"/>
      <c r="AB35" s="3"/>
    </row>
    <row r="36" spans="7:28" ht="12.75">
      <c r="G36" s="3"/>
      <c r="H36" s="3"/>
      <c r="I36" s="241"/>
      <c r="J36" s="3"/>
      <c r="K36" s="3"/>
      <c r="M36" s="15"/>
      <c r="N36" s="241"/>
      <c r="O36" s="3"/>
      <c r="P36" s="3"/>
      <c r="Q36" s="3"/>
      <c r="R36" s="3"/>
      <c r="S36" s="3"/>
      <c r="T36" s="3"/>
      <c r="U36" s="3"/>
      <c r="V36" s="3"/>
      <c r="W36" s="3"/>
      <c r="X36" s="3"/>
      <c r="Y36" s="3"/>
      <c r="Z36" s="3"/>
      <c r="AA36" s="3"/>
      <c r="AB36" s="3"/>
    </row>
    <row r="37" spans="7:28" ht="12.75">
      <c r="G37" s="3"/>
      <c r="H37" s="3"/>
      <c r="I37" s="241"/>
      <c r="J37" s="3"/>
      <c r="K37" s="3"/>
      <c r="M37" s="15"/>
      <c r="N37" s="241"/>
      <c r="O37" s="3"/>
      <c r="P37" s="3"/>
      <c r="Q37" s="3"/>
      <c r="R37" s="3"/>
      <c r="S37" s="3"/>
      <c r="T37" s="3"/>
      <c r="U37" s="3"/>
      <c r="V37" s="3"/>
      <c r="W37" s="3"/>
      <c r="X37" s="3"/>
      <c r="Y37" s="3"/>
      <c r="Z37" s="3"/>
      <c r="AA37" s="3"/>
      <c r="AB37" s="3"/>
    </row>
    <row r="38" spans="7:28" ht="12.75">
      <c r="G38" s="3"/>
      <c r="H38" s="3"/>
      <c r="I38" s="241"/>
      <c r="J38" s="3"/>
      <c r="K38" s="3"/>
      <c r="M38" s="15"/>
      <c r="N38" s="241"/>
      <c r="O38" s="3"/>
      <c r="P38" s="3"/>
      <c r="Q38" s="3"/>
      <c r="R38" s="3"/>
      <c r="S38" s="3"/>
      <c r="T38" s="3"/>
      <c r="U38" s="3"/>
      <c r="V38" s="3"/>
      <c r="W38" s="3"/>
      <c r="X38" s="3"/>
      <c r="Y38" s="3"/>
      <c r="Z38" s="3"/>
      <c r="AA38" s="3"/>
      <c r="AB38" s="3"/>
    </row>
    <row r="39" spans="7:28" ht="12.75">
      <c r="G39" s="3"/>
      <c r="H39" s="3"/>
      <c r="I39" s="241"/>
      <c r="J39" s="3"/>
      <c r="K39" s="3"/>
      <c r="N39" s="241"/>
      <c r="O39" s="3"/>
      <c r="P39" s="3"/>
      <c r="Q39" s="3"/>
      <c r="R39" s="3"/>
      <c r="S39" s="3"/>
      <c r="T39" s="3"/>
      <c r="U39" s="3"/>
      <c r="V39" s="3"/>
      <c r="W39" s="3"/>
      <c r="X39" s="3"/>
      <c r="Y39" s="3"/>
      <c r="Z39" s="3"/>
      <c r="AA39" s="3"/>
      <c r="AB39" s="3"/>
    </row>
    <row r="40" spans="7:28" ht="12.75">
      <c r="G40" s="3"/>
      <c r="H40" s="3"/>
      <c r="I40" s="241"/>
      <c r="J40" s="3"/>
      <c r="K40" s="3"/>
      <c r="N40" s="241"/>
      <c r="O40" s="3"/>
      <c r="P40" s="3"/>
      <c r="Q40" s="3"/>
      <c r="R40" s="3"/>
      <c r="S40" s="3"/>
      <c r="T40" s="3"/>
      <c r="U40" s="3"/>
      <c r="V40" s="3"/>
      <c r="W40" s="3"/>
      <c r="X40" s="3"/>
      <c r="Y40" s="3"/>
      <c r="Z40" s="3"/>
      <c r="AA40" s="3"/>
      <c r="AB40" s="3"/>
    </row>
    <row r="41" spans="7:28" ht="12.75">
      <c r="G41" s="3"/>
      <c r="H41" s="3"/>
      <c r="I41" s="241"/>
      <c r="J41" s="3"/>
      <c r="K41" s="3"/>
      <c r="N41" s="241"/>
      <c r="O41" s="3"/>
      <c r="P41" s="3"/>
      <c r="Q41" s="3"/>
      <c r="R41" s="3"/>
      <c r="S41" s="3"/>
      <c r="T41" s="3"/>
      <c r="U41" s="3"/>
      <c r="V41" s="3"/>
      <c r="W41" s="3"/>
      <c r="X41" s="3"/>
      <c r="Y41" s="3"/>
      <c r="Z41" s="3"/>
      <c r="AA41" s="3"/>
      <c r="AB41" s="3"/>
    </row>
    <row r="42" spans="7:28" ht="12.75">
      <c r="G42" s="3"/>
      <c r="H42" s="3"/>
      <c r="I42" s="241"/>
      <c r="J42" s="3"/>
      <c r="K42" s="3"/>
      <c r="M42" s="14"/>
      <c r="N42" s="241"/>
      <c r="O42" s="3"/>
      <c r="P42" s="3"/>
      <c r="Q42" s="3"/>
      <c r="R42" s="3"/>
      <c r="S42" s="3"/>
      <c r="T42" s="3"/>
      <c r="U42" s="3"/>
      <c r="V42" s="3"/>
      <c r="W42" s="3"/>
      <c r="X42" s="3"/>
      <c r="Y42" s="3"/>
      <c r="Z42" s="3"/>
      <c r="AA42" s="3"/>
      <c r="AB42" s="3"/>
    </row>
    <row r="43" spans="13:28" ht="12.75">
      <c r="M43" s="14"/>
      <c r="N43" s="251"/>
      <c r="O43" s="3"/>
      <c r="P43" s="3"/>
      <c r="Q43" s="3"/>
      <c r="R43" s="3"/>
      <c r="S43" s="3"/>
      <c r="T43" s="3"/>
      <c r="U43" s="3"/>
      <c r="V43" s="3"/>
      <c r="W43" s="3"/>
      <c r="X43" s="3"/>
      <c r="Y43" s="3"/>
      <c r="Z43" s="3"/>
      <c r="AA43" s="3"/>
      <c r="AB43" s="3"/>
    </row>
    <row r="44" spans="4:28" ht="12.75">
      <c r="D44" s="5"/>
      <c r="N44" s="241"/>
      <c r="O44" s="3"/>
      <c r="P44" s="3"/>
      <c r="Q44" s="3"/>
      <c r="R44" s="3"/>
      <c r="S44" s="3"/>
      <c r="T44" s="3"/>
      <c r="U44" s="3"/>
      <c r="V44" s="3"/>
      <c r="W44" s="3"/>
      <c r="X44" s="3"/>
      <c r="Y44" s="3"/>
      <c r="Z44" s="3"/>
      <c r="AA44" s="3"/>
      <c r="AB44" s="3"/>
    </row>
    <row r="45" spans="14:28" ht="12.75">
      <c r="N45" s="241"/>
      <c r="O45" s="3"/>
      <c r="P45" s="3"/>
      <c r="Q45" s="3"/>
      <c r="R45" s="3"/>
      <c r="S45" s="3"/>
      <c r="T45" s="3"/>
      <c r="U45" s="3"/>
      <c r="V45" s="3"/>
      <c r="W45" s="3"/>
      <c r="X45" s="3"/>
      <c r="Y45" s="3"/>
      <c r="Z45" s="3"/>
      <c r="AA45" s="3"/>
      <c r="AB45" s="3"/>
    </row>
    <row r="46" spans="14:28" ht="12.75">
      <c r="N46" s="241"/>
      <c r="O46" s="3"/>
      <c r="P46" s="3"/>
      <c r="Q46" s="3"/>
      <c r="R46" s="3"/>
      <c r="S46" s="3"/>
      <c r="T46" s="3"/>
      <c r="U46" s="3"/>
      <c r="V46" s="3"/>
      <c r="W46" s="3"/>
      <c r="X46" s="3"/>
      <c r="Y46" s="3"/>
      <c r="Z46" s="3"/>
      <c r="AA46" s="3"/>
      <c r="AB46" s="3"/>
    </row>
    <row r="47" spans="14:28" ht="12.75">
      <c r="N47" s="241"/>
      <c r="O47" s="3"/>
      <c r="P47" s="3"/>
      <c r="Q47" s="3"/>
      <c r="R47" s="3"/>
      <c r="S47" s="3"/>
      <c r="T47" s="3"/>
      <c r="U47" s="3"/>
      <c r="V47" s="3"/>
      <c r="W47" s="3"/>
      <c r="X47" s="3"/>
      <c r="Y47" s="3"/>
      <c r="Z47" s="3"/>
      <c r="AA47" s="3"/>
      <c r="AB47" s="3"/>
    </row>
    <row r="48" spans="14:28" ht="12.75">
      <c r="N48" s="241"/>
      <c r="O48" s="3"/>
      <c r="P48" s="3"/>
      <c r="Q48" s="3"/>
      <c r="R48" s="3"/>
      <c r="S48" s="3"/>
      <c r="T48" s="3"/>
      <c r="U48" s="3"/>
      <c r="V48" s="3"/>
      <c r="W48" s="3"/>
      <c r="X48" s="3"/>
      <c r="Y48" s="3"/>
      <c r="Z48" s="3"/>
      <c r="AA48" s="3"/>
      <c r="AB48" s="3"/>
    </row>
    <row r="49" spans="14:28" ht="12.75">
      <c r="N49" s="241"/>
      <c r="O49" s="3"/>
      <c r="P49" s="3"/>
      <c r="Q49" s="3"/>
      <c r="R49" s="3"/>
      <c r="S49" s="3"/>
      <c r="T49" s="3"/>
      <c r="U49" s="3"/>
      <c r="V49" s="3"/>
      <c r="W49" s="3"/>
      <c r="X49" s="3"/>
      <c r="Y49" s="3"/>
      <c r="Z49" s="3"/>
      <c r="AA49" s="3"/>
      <c r="AB49" s="3"/>
    </row>
    <row r="50" spans="14:28" ht="12.75">
      <c r="N50" s="241"/>
      <c r="O50" s="3"/>
      <c r="P50" s="3"/>
      <c r="Q50" s="3"/>
      <c r="R50" s="3"/>
      <c r="S50" s="3"/>
      <c r="T50" s="3"/>
      <c r="U50" s="3"/>
      <c r="V50" s="3"/>
      <c r="W50" s="3"/>
      <c r="X50" s="3"/>
      <c r="Y50" s="3"/>
      <c r="Z50" s="3"/>
      <c r="AA50" s="3"/>
      <c r="AB50" s="3"/>
    </row>
    <row r="51" spans="14:28" ht="12.75">
      <c r="N51" s="241"/>
      <c r="O51" s="3"/>
      <c r="P51" s="3"/>
      <c r="Q51" s="3"/>
      <c r="R51" s="3"/>
      <c r="S51" s="3"/>
      <c r="T51" s="3"/>
      <c r="U51" s="3"/>
      <c r="V51" s="3"/>
      <c r="W51" s="3"/>
      <c r="X51" s="3"/>
      <c r="Y51" s="3"/>
      <c r="Z51" s="3"/>
      <c r="AA51" s="3"/>
      <c r="AB51" s="3"/>
    </row>
    <row r="52" spans="14:28" ht="12.75">
      <c r="N52" s="241"/>
      <c r="O52" s="3"/>
      <c r="P52" s="3"/>
      <c r="Q52" s="3"/>
      <c r="R52" s="3"/>
      <c r="S52" s="3"/>
      <c r="T52" s="3"/>
      <c r="U52" s="3"/>
      <c r="V52" s="3"/>
      <c r="W52" s="3"/>
      <c r="X52" s="3"/>
      <c r="Y52" s="3"/>
      <c r="Z52" s="3"/>
      <c r="AA52" s="3"/>
      <c r="AB52" s="3"/>
    </row>
    <row r="53" spans="14:28" ht="12.75">
      <c r="N53" s="241"/>
      <c r="O53" s="3"/>
      <c r="P53" s="3"/>
      <c r="Q53" s="3"/>
      <c r="R53" s="3"/>
      <c r="S53" s="3"/>
      <c r="T53" s="3"/>
      <c r="U53" s="3"/>
      <c r="V53" s="3"/>
      <c r="W53" s="3"/>
      <c r="X53" s="3"/>
      <c r="Y53" s="3"/>
      <c r="Z53" s="3"/>
      <c r="AA53" s="3"/>
      <c r="AB53" s="3"/>
    </row>
    <row r="54" spans="14:28" ht="12.75">
      <c r="N54" s="241"/>
      <c r="O54" s="3"/>
      <c r="P54" s="3"/>
      <c r="Q54" s="3"/>
      <c r="R54" s="3"/>
      <c r="S54" s="3"/>
      <c r="T54" s="3"/>
      <c r="U54" s="3"/>
      <c r="V54" s="3"/>
      <c r="W54" s="3"/>
      <c r="X54" s="3"/>
      <c r="Y54" s="3"/>
      <c r="Z54" s="3"/>
      <c r="AA54" s="3"/>
      <c r="AB54" s="3"/>
    </row>
    <row r="55" spans="14:28" ht="12.75">
      <c r="N55" s="241"/>
      <c r="O55" s="3"/>
      <c r="P55" s="3"/>
      <c r="Q55" s="3"/>
      <c r="R55" s="3"/>
      <c r="S55" s="3"/>
      <c r="T55" s="3"/>
      <c r="U55" s="3"/>
      <c r="V55" s="3"/>
      <c r="W55" s="3"/>
      <c r="X55" s="3"/>
      <c r="Y55" s="3"/>
      <c r="Z55" s="3"/>
      <c r="AA55" s="3"/>
      <c r="AB55" s="3"/>
    </row>
    <row r="56" spans="14:28" ht="12.75">
      <c r="N56" s="241"/>
      <c r="O56" s="3"/>
      <c r="P56" s="3"/>
      <c r="Q56" s="3"/>
      <c r="R56" s="3"/>
      <c r="S56" s="3"/>
      <c r="T56" s="3"/>
      <c r="U56" s="3"/>
      <c r="V56" s="3"/>
      <c r="W56" s="3"/>
      <c r="X56" s="3"/>
      <c r="Y56" s="3"/>
      <c r="Z56" s="3"/>
      <c r="AA56" s="3"/>
      <c r="AB56" s="3"/>
    </row>
    <row r="57" spans="14:28" ht="12.75">
      <c r="N57" s="241"/>
      <c r="O57" s="3"/>
      <c r="P57" s="3"/>
      <c r="Q57" s="3"/>
      <c r="R57" s="3"/>
      <c r="S57" s="3"/>
      <c r="T57" s="3"/>
      <c r="U57" s="3"/>
      <c r="V57" s="3"/>
      <c r="W57" s="3"/>
      <c r="X57" s="3"/>
      <c r="Y57" s="3"/>
      <c r="Z57" s="3"/>
      <c r="AA57" s="3"/>
      <c r="AB57" s="3"/>
    </row>
    <row r="58" spans="14:28" ht="12.75">
      <c r="N58" s="241"/>
      <c r="O58" s="3"/>
      <c r="P58" s="3"/>
      <c r="Q58" s="3"/>
      <c r="R58" s="3"/>
      <c r="S58" s="3"/>
      <c r="T58" s="3"/>
      <c r="U58" s="3"/>
      <c r="V58" s="3"/>
      <c r="W58" s="3"/>
      <c r="X58" s="3"/>
      <c r="Y58" s="3"/>
      <c r="Z58" s="3"/>
      <c r="AA58" s="3"/>
      <c r="AB58" s="3"/>
    </row>
    <row r="59" spans="14:28" ht="12.75">
      <c r="N59" s="241"/>
      <c r="O59" s="3"/>
      <c r="P59" s="3"/>
      <c r="Q59" s="3"/>
      <c r="R59" s="3"/>
      <c r="S59" s="3"/>
      <c r="T59" s="3"/>
      <c r="U59" s="3"/>
      <c r="V59" s="3"/>
      <c r="W59" s="3"/>
      <c r="X59" s="3"/>
      <c r="Y59" s="3"/>
      <c r="Z59" s="3"/>
      <c r="AA59" s="3"/>
      <c r="AB59" s="3"/>
    </row>
    <row r="60" spans="14:28" ht="12.75">
      <c r="N60" s="241"/>
      <c r="O60" s="3"/>
      <c r="P60" s="3"/>
      <c r="Q60" s="3"/>
      <c r="R60" s="3"/>
      <c r="S60" s="3"/>
      <c r="T60" s="3"/>
      <c r="U60" s="3"/>
      <c r="V60" s="3"/>
      <c r="W60" s="3"/>
      <c r="X60" s="3"/>
      <c r="Y60" s="3"/>
      <c r="Z60" s="3"/>
      <c r="AA60" s="3"/>
      <c r="AB60" s="3"/>
    </row>
    <row r="61" spans="14:28" ht="12.75">
      <c r="N61" s="241"/>
      <c r="O61" s="3"/>
      <c r="P61" s="3"/>
      <c r="Q61" s="3"/>
      <c r="R61" s="3"/>
      <c r="S61" s="3"/>
      <c r="T61" s="3"/>
      <c r="U61" s="3"/>
      <c r="V61" s="3"/>
      <c r="W61" s="3"/>
      <c r="X61" s="3"/>
      <c r="Y61" s="3"/>
      <c r="Z61" s="3"/>
      <c r="AA61" s="3"/>
      <c r="AB61" s="3"/>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31.xml><?xml version="1.0" encoding="utf-8"?>
<worksheet xmlns="http://schemas.openxmlformats.org/spreadsheetml/2006/main" xmlns:r="http://schemas.openxmlformats.org/officeDocument/2006/relationships">
  <dimension ref="A1:AB12"/>
  <sheetViews>
    <sheetView zoomScalePageLayoutView="0" workbookViewId="0" topLeftCell="A1">
      <selection activeCell="A1" sqref="A1"/>
    </sheetView>
  </sheetViews>
  <sheetFormatPr defaultColWidth="9.140625" defaultRowHeight="12.75"/>
  <cols>
    <col min="1" max="1" width="3.00390625" style="0" customWidth="1"/>
    <col min="2" max="2" width="6.140625" style="0" customWidth="1"/>
    <col min="3" max="3" width="23.28125" style="0" customWidth="1"/>
    <col min="4" max="4" width="8.57421875" style="0" customWidth="1"/>
    <col min="5" max="5" width="10.57421875" style="0" customWidth="1"/>
    <col min="6" max="6" width="12.00390625" style="0" customWidth="1"/>
    <col min="7" max="7" width="8.28125" style="0" customWidth="1"/>
    <col min="8" max="8" width="13.421875" style="0" customWidth="1"/>
    <col min="9" max="9" width="18.57421875" style="0" customWidth="1"/>
    <col min="10" max="10" width="19.00390625" style="0" customWidth="1"/>
    <col min="11" max="11" width="11.28125" style="0" customWidth="1"/>
    <col min="12" max="12" width="11.57421875" style="0" customWidth="1"/>
    <col min="13" max="13" width="15.00390625" style="13" customWidth="1"/>
    <col min="15" max="15" width="10.8515625" style="0" customWidth="1"/>
    <col min="16" max="16" width="4.57421875" style="0" customWidth="1"/>
    <col min="17" max="17" width="5.28125" style="0" customWidth="1"/>
    <col min="18" max="18" width="5.00390625" style="0" customWidth="1"/>
    <col min="19" max="19" width="8.421875" style="0" customWidth="1"/>
    <col min="21" max="21" width="15.574218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49.8515625" style="0" customWidth="1"/>
  </cols>
  <sheetData>
    <row r="1" ht="18">
      <c r="A1" s="1" t="s">
        <v>34</v>
      </c>
    </row>
    <row r="2" ht="15">
      <c r="A2" s="54" t="s">
        <v>322</v>
      </c>
    </row>
    <row r="3" spans="3:28" s="5" customFormat="1" ht="12.75">
      <c r="C3" s="7"/>
      <c r="D3" s="7"/>
      <c r="E3" s="7"/>
      <c r="F3" s="7"/>
      <c r="G3" s="7"/>
      <c r="H3" s="7"/>
      <c r="I3" s="7"/>
      <c r="J3" s="7"/>
      <c r="K3" s="7"/>
      <c r="L3" s="7"/>
      <c r="M3" s="64"/>
      <c r="N3" s="7"/>
      <c r="O3" s="7"/>
      <c r="P3" s="111" t="s">
        <v>55</v>
      </c>
      <c r="Q3" s="111"/>
      <c r="R3" s="111"/>
      <c r="S3" s="111"/>
      <c r="T3" s="111"/>
      <c r="U3" s="111"/>
      <c r="V3" s="192" t="s">
        <v>54</v>
      </c>
      <c r="W3" s="56"/>
      <c r="X3" s="56"/>
      <c r="Y3" s="56"/>
      <c r="Z3" s="56"/>
      <c r="AA3" s="56"/>
      <c r="AB3" s="111"/>
    </row>
    <row r="4" spans="1:28" s="144" customFormat="1" ht="51">
      <c r="A4" s="144" t="s">
        <v>52</v>
      </c>
      <c r="B4" s="144" t="s">
        <v>50</v>
      </c>
      <c r="C4" s="134" t="s">
        <v>59</v>
      </c>
      <c r="D4" s="112" t="s">
        <v>159</v>
      </c>
      <c r="E4" s="134" t="s">
        <v>49</v>
      </c>
      <c r="F4" s="143" t="s">
        <v>35</v>
      </c>
      <c r="G4" s="112" t="s">
        <v>37</v>
      </c>
      <c r="H4" s="143" t="s">
        <v>35</v>
      </c>
      <c r="I4" s="112" t="s">
        <v>51</v>
      </c>
      <c r="J4" s="144" t="s">
        <v>35</v>
      </c>
      <c r="K4" s="84" t="s">
        <v>61</v>
      </c>
      <c r="L4" s="143" t="s">
        <v>35</v>
      </c>
      <c r="M4" s="146" t="s">
        <v>289</v>
      </c>
      <c r="N4" s="112" t="s">
        <v>94</v>
      </c>
      <c r="O4" s="143" t="s">
        <v>35</v>
      </c>
      <c r="P4" s="147" t="s">
        <v>38</v>
      </c>
      <c r="Q4" s="147" t="s">
        <v>39</v>
      </c>
      <c r="R4" s="147" t="s">
        <v>40</v>
      </c>
      <c r="S4" s="147" t="s">
        <v>477</v>
      </c>
      <c r="T4" s="148" t="s">
        <v>42</v>
      </c>
      <c r="U4" s="148" t="s">
        <v>237</v>
      </c>
      <c r="V4" s="56" t="s">
        <v>38</v>
      </c>
      <c r="W4" s="56" t="s">
        <v>39</v>
      </c>
      <c r="X4" s="56" t="s">
        <v>40</v>
      </c>
      <c r="Y4" s="56" t="s">
        <v>477</v>
      </c>
      <c r="Z4" s="57" t="s">
        <v>42</v>
      </c>
      <c r="AA4" s="57" t="s">
        <v>237</v>
      </c>
      <c r="AB4" s="111" t="s">
        <v>89</v>
      </c>
    </row>
    <row r="5" spans="1:28" s="129" customFormat="1" ht="38.25">
      <c r="A5" s="129" t="s">
        <v>319</v>
      </c>
      <c r="C5" s="134" t="s">
        <v>313</v>
      </c>
      <c r="D5" s="111"/>
      <c r="F5" s="128"/>
      <c r="G5" s="76"/>
      <c r="H5" s="128"/>
      <c r="I5" s="255"/>
      <c r="K5" s="113"/>
      <c r="L5" s="128"/>
      <c r="M5" s="135"/>
      <c r="N5" s="255"/>
      <c r="O5" s="128"/>
      <c r="P5" s="127"/>
      <c r="Q5" s="127"/>
      <c r="R5" s="127"/>
      <c r="S5" s="127"/>
      <c r="T5" s="127"/>
      <c r="U5" s="127"/>
      <c r="V5" s="58"/>
      <c r="W5" s="58"/>
      <c r="X5" s="58"/>
      <c r="Y5" s="58"/>
      <c r="Z5" s="58"/>
      <c r="AA5" s="58"/>
      <c r="AB5" s="76"/>
    </row>
    <row r="6" spans="2:28" ht="12.75">
      <c r="B6" s="3" t="s">
        <v>320</v>
      </c>
      <c r="C6" s="26" t="s">
        <v>314</v>
      </c>
      <c r="D6" s="111"/>
      <c r="E6" s="11" t="s">
        <v>315</v>
      </c>
      <c r="F6" s="3" t="s">
        <v>316</v>
      </c>
      <c r="G6" s="76">
        <v>2.5</v>
      </c>
      <c r="H6" s="3" t="s">
        <v>316</v>
      </c>
      <c r="I6" s="256">
        <f>'Step7-Crematoria-cemetaries'!C5</f>
        <v>0</v>
      </c>
      <c r="J6" s="3" t="s">
        <v>317</v>
      </c>
      <c r="K6" s="113">
        <f>G6*I6/1000</f>
        <v>0</v>
      </c>
      <c r="L6" s="3" t="s">
        <v>36</v>
      </c>
      <c r="M6" s="33"/>
      <c r="N6" s="255">
        <f>K6</f>
        <v>0</v>
      </c>
      <c r="O6" s="3" t="s">
        <v>36</v>
      </c>
      <c r="P6" s="76">
        <v>1</v>
      </c>
      <c r="Q6" s="76"/>
      <c r="R6" s="76"/>
      <c r="S6" s="281"/>
      <c r="T6" s="76"/>
      <c r="U6" s="76"/>
      <c r="V6" s="114">
        <f aca="true" t="shared" si="0" ref="V6:AA6">$N6*P6</f>
        <v>0</v>
      </c>
      <c r="W6" s="114">
        <f t="shared" si="0"/>
        <v>0</v>
      </c>
      <c r="X6" s="114">
        <f t="shared" si="0"/>
        <v>0</v>
      </c>
      <c r="Y6" s="246" t="s">
        <v>282</v>
      </c>
      <c r="Z6" s="114">
        <f t="shared" si="0"/>
        <v>0</v>
      </c>
      <c r="AA6" s="114">
        <f t="shared" si="0"/>
        <v>0</v>
      </c>
      <c r="AB6" s="76"/>
    </row>
    <row r="7" spans="2:28" s="55" customFormat="1" ht="12.75">
      <c r="B7" s="104"/>
      <c r="C7" s="137"/>
      <c r="D7" s="76"/>
      <c r="E7" s="106"/>
      <c r="F7" s="104"/>
      <c r="G7" s="76"/>
      <c r="H7" s="104"/>
      <c r="I7" s="256"/>
      <c r="K7" s="170"/>
      <c r="L7" s="104"/>
      <c r="M7" s="138"/>
      <c r="N7" s="256"/>
      <c r="O7" s="104"/>
      <c r="P7" s="130"/>
      <c r="Q7" s="130"/>
      <c r="R7" s="130"/>
      <c r="S7" s="130"/>
      <c r="T7" s="130"/>
      <c r="U7" s="127"/>
      <c r="V7" s="116"/>
      <c r="W7" s="116"/>
      <c r="X7" s="116"/>
      <c r="Y7" s="116"/>
      <c r="Z7" s="116"/>
      <c r="AA7" s="116"/>
      <c r="AB7" s="76"/>
    </row>
    <row r="8" spans="2:28" ht="12.75">
      <c r="B8" s="3" t="s">
        <v>321</v>
      </c>
      <c r="C8" s="26" t="s">
        <v>449</v>
      </c>
      <c r="D8" s="111"/>
      <c r="E8" s="11" t="s">
        <v>315</v>
      </c>
      <c r="F8" s="3" t="s">
        <v>316</v>
      </c>
      <c r="G8" s="76">
        <v>2.5</v>
      </c>
      <c r="H8" s="3" t="s">
        <v>316</v>
      </c>
      <c r="I8" s="256">
        <f>'Step7-Crematoria-cemetaries'!C6</f>
        <v>0</v>
      </c>
      <c r="J8" s="3" t="s">
        <v>318</v>
      </c>
      <c r="K8" s="113">
        <f>G8*I8/1000</f>
        <v>0</v>
      </c>
      <c r="L8" s="3" t="s">
        <v>36</v>
      </c>
      <c r="M8" s="33"/>
      <c r="N8" s="255">
        <f>K8</f>
        <v>0</v>
      </c>
      <c r="O8" s="3" t="s">
        <v>36</v>
      </c>
      <c r="P8" s="76"/>
      <c r="Q8" s="76"/>
      <c r="R8" s="76">
        <v>1</v>
      </c>
      <c r="S8" s="281"/>
      <c r="T8" s="76"/>
      <c r="U8" s="76"/>
      <c r="V8" s="114">
        <f aca="true" t="shared" si="1" ref="V8:AA8">$N8*P8</f>
        <v>0</v>
      </c>
      <c r="W8" s="114">
        <f t="shared" si="1"/>
        <v>0</v>
      </c>
      <c r="X8" s="114">
        <f t="shared" si="1"/>
        <v>0</v>
      </c>
      <c r="Y8" s="246" t="s">
        <v>282</v>
      </c>
      <c r="Z8" s="114">
        <f t="shared" si="1"/>
        <v>0</v>
      </c>
      <c r="AA8" s="114">
        <f t="shared" si="1"/>
        <v>0</v>
      </c>
      <c r="AB8" s="76"/>
    </row>
    <row r="9" spans="4:28" s="55" customFormat="1" ht="12.75">
      <c r="D9" s="76"/>
      <c r="G9" s="76"/>
      <c r="I9" s="255"/>
      <c r="K9" s="113"/>
      <c r="M9" s="163"/>
      <c r="N9" s="255"/>
      <c r="O9" s="104"/>
      <c r="P9" s="76"/>
      <c r="Q9" s="76"/>
      <c r="R9" s="76"/>
      <c r="S9" s="76"/>
      <c r="T9" s="76"/>
      <c r="U9" s="76"/>
      <c r="V9" s="58"/>
      <c r="W9" s="58"/>
      <c r="X9" s="58"/>
      <c r="Y9" s="58"/>
      <c r="Z9" s="58"/>
      <c r="AA9" s="58"/>
      <c r="AB9" s="76"/>
    </row>
    <row r="10" spans="4:28" ht="12.75">
      <c r="D10" s="3"/>
      <c r="E10" s="3"/>
      <c r="F10" s="3"/>
      <c r="G10" s="3"/>
      <c r="H10" s="3"/>
      <c r="I10" s="3"/>
      <c r="J10" s="3"/>
      <c r="K10" s="36"/>
      <c r="L10" s="3"/>
      <c r="M10" s="63"/>
      <c r="N10" s="3"/>
      <c r="O10" s="3"/>
      <c r="P10" s="3"/>
      <c r="Q10" s="3"/>
      <c r="R10" s="3"/>
      <c r="S10" s="3"/>
      <c r="T10" s="3"/>
      <c r="U10" s="3"/>
      <c r="V10" s="3"/>
      <c r="W10" s="3"/>
      <c r="X10" s="3"/>
      <c r="Y10" s="3"/>
      <c r="Z10" s="3"/>
      <c r="AA10" s="3"/>
      <c r="AB10" s="3"/>
    </row>
    <row r="11" spans="3:4" ht="12.75">
      <c r="C11" s="5"/>
      <c r="D11" s="8"/>
    </row>
    <row r="12" ht="12.75">
      <c r="D12" s="6"/>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1"/>
  <headerFooter>
    <oddFooter>&amp;L&amp;A
Printed &amp;D</oddFooter>
  </headerFooter>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D10" sqref="D10"/>
    </sheetView>
  </sheetViews>
  <sheetFormatPr defaultColWidth="9.140625" defaultRowHeight="12.75"/>
  <cols>
    <col min="1" max="1" width="38.00390625" style="346" customWidth="1"/>
    <col min="2" max="2" width="8.8515625" style="367" customWidth="1"/>
    <col min="3" max="3" width="14.140625" style="346" customWidth="1"/>
    <col min="4" max="4" width="27.421875" style="346" customWidth="1"/>
    <col min="5" max="5" width="12.57421875" style="346" customWidth="1"/>
    <col min="6" max="6" width="10.140625" style="346" customWidth="1"/>
    <col min="7" max="8" width="9.140625" style="346" customWidth="1"/>
    <col min="9" max="9" width="11.00390625" style="346" customWidth="1"/>
    <col min="10" max="10" width="9.140625" style="346" customWidth="1"/>
    <col min="11" max="11" width="16.140625" style="346" customWidth="1"/>
    <col min="12" max="12" width="5.28125" style="346" customWidth="1"/>
    <col min="13" max="13" width="9.140625" style="346" customWidth="1"/>
    <col min="14" max="14" width="0" style="346" hidden="1" customWidth="1"/>
    <col min="15" max="16384" width="9.140625" style="346" customWidth="1"/>
  </cols>
  <sheetData>
    <row r="1" spans="1:2" ht="12.75">
      <c r="A1" s="363" t="s">
        <v>447</v>
      </c>
      <c r="B1" s="364"/>
    </row>
    <row r="2" spans="1:12" ht="30" customHeight="1">
      <c r="A2" s="690">
        <f>IF(ISNA(MATCH("n",N5:N17,0)),"","
The Estimated Hg input (or equivalent inserted IL2 results) marked in red colour is very high compared to previous observations. Data may be correct, but please confirm your activity rate data (or inserted IL2 data).")</f>
      </c>
      <c r="B2" s="691"/>
      <c r="C2" s="691"/>
      <c r="D2" s="691"/>
      <c r="E2" s="691"/>
      <c r="F2" s="691"/>
      <c r="G2" s="691"/>
      <c r="H2" s="691"/>
      <c r="I2" s="691"/>
      <c r="J2" s="691"/>
      <c r="K2" s="691"/>
      <c r="L2" s="692"/>
    </row>
    <row r="3" spans="1:12" s="368" customFormat="1" ht="38.25">
      <c r="A3" s="266" t="s">
        <v>323</v>
      </c>
      <c r="B3" s="505" t="s">
        <v>381</v>
      </c>
      <c r="C3" s="272" t="s">
        <v>518</v>
      </c>
      <c r="D3" s="266"/>
      <c r="E3" s="314" t="s">
        <v>373</v>
      </c>
      <c r="F3" s="687" t="s">
        <v>379</v>
      </c>
      <c r="G3" s="688"/>
      <c r="H3" s="688"/>
      <c r="I3" s="688"/>
      <c r="J3" s="688"/>
      <c r="K3" s="689"/>
      <c r="L3" s="266"/>
    </row>
    <row r="4" spans="1:13" ht="38.25">
      <c r="A4" s="276"/>
      <c r="B4" s="519" t="str">
        <f>quest</f>
        <v>Y/N/?</v>
      </c>
      <c r="C4" s="267" t="s">
        <v>383</v>
      </c>
      <c r="D4" s="272" t="s">
        <v>35</v>
      </c>
      <c r="E4" s="267" t="s">
        <v>378</v>
      </c>
      <c r="F4" s="273" t="s">
        <v>38</v>
      </c>
      <c r="G4" s="273" t="s">
        <v>39</v>
      </c>
      <c r="H4" s="273" t="s">
        <v>40</v>
      </c>
      <c r="I4" s="460" t="s">
        <v>521</v>
      </c>
      <c r="J4" s="267" t="s">
        <v>42</v>
      </c>
      <c r="K4" s="267" t="s">
        <v>380</v>
      </c>
      <c r="L4" s="266" t="s">
        <v>372</v>
      </c>
      <c r="M4" s="329" t="s">
        <v>56</v>
      </c>
    </row>
    <row r="5" spans="1:13" ht="13.5" thickBot="1">
      <c r="A5" s="269" t="s">
        <v>435</v>
      </c>
      <c r="B5" s="519"/>
      <c r="C5" s="271"/>
      <c r="D5" s="276"/>
      <c r="E5" s="358"/>
      <c r="F5" s="359"/>
      <c r="G5" s="359"/>
      <c r="H5" s="359"/>
      <c r="I5" s="360"/>
      <c r="J5" s="360"/>
      <c r="K5" s="360"/>
      <c r="L5" s="266"/>
      <c r="M5" s="492"/>
    </row>
    <row r="6" spans="1:14" ht="25.5">
      <c r="A6" s="274" t="s">
        <v>167</v>
      </c>
      <c r="B6" s="374"/>
      <c r="C6" s="387"/>
      <c r="D6" s="352" t="s">
        <v>995</v>
      </c>
      <c r="E6" s="488" t="str">
        <f>IF(OR($B6=yes,$B6=yes),'5-2 Prim metal'!K6,IF(OR($B6=no,$B6=no),"-",IF($B6=que,que,pres)))</f>
        <v>Present?</v>
      </c>
      <c r="F6" s="284" t="str">
        <f>IF(OR($B6=yes,$B6=yes),'5-2 Prim metal'!V6,IF(OR($B6=no,$B6=no),"-",IF($B6=que,que,pres)))</f>
        <v>Present?</v>
      </c>
      <c r="G6" s="284" t="str">
        <f>IF(OR($B6=yes,$B6=yes),'5-2 Prim metal'!W6,IF(OR($B6=no,$B6=no),"-",IF($B6=que,que,pres)))</f>
        <v>Present?</v>
      </c>
      <c r="H6" s="284" t="str">
        <f>IF(OR($B6=yes,$B6=yes),'5-2 Prim metal'!X6,IF(OR($B6=no,$B6=no),"-",IF($B6=que,que,pres)))</f>
        <v>Present?</v>
      </c>
      <c r="I6" s="284" t="str">
        <f>IF(OR($B6=yes,$B6=yes),'5-2 Prim metal'!Y6,IF(OR($B6=no,$B6=no),"-",IF($B6=que,que,pres)))</f>
        <v>Present?</v>
      </c>
      <c r="J6" s="284" t="str">
        <f>IF(OR($B6=yes,$B6=yes),'5-2 Prim metal'!Z6,IF(OR($B6=no,$B6=no),"-",IF($B6=que,que,pres)))</f>
        <v>Present?</v>
      </c>
      <c r="K6" s="284" t="str">
        <f>IF(OR($B6=yes,$B6=yes),'5-2 Prim metal'!AA6,IF(OR($B6=no,$B6=no),"-",IF($B6=que,que,pres)))</f>
        <v>Present?</v>
      </c>
      <c r="L6" s="277" t="s">
        <v>163</v>
      </c>
      <c r="M6" s="492"/>
      <c r="N6" s="346">
        <f>INDEX('Range-thresholds'!$G$6:$G$72,MATCH(A6,'Range-thresholds'!$A$6:$A$72,0))</f>
      </c>
    </row>
    <row r="7" spans="1:14" ht="12.75">
      <c r="A7" s="274" t="s">
        <v>385</v>
      </c>
      <c r="B7" s="402"/>
      <c r="C7" s="389"/>
      <c r="D7" s="352" t="s">
        <v>996</v>
      </c>
      <c r="E7" s="488" t="str">
        <f>IF(OR($B7=yes,$B7=yes),'5-2 Prim metal'!K15,IF(OR($B7=no,$B7=no),"-",IF($B7=que,que,pres)))</f>
        <v>Present?</v>
      </c>
      <c r="F7" s="284" t="str">
        <f>IF(OR($B7=yes,$B7=yes),'5-2 Prim metal'!V13,IF(OR($B7=no,$B7=no),"-",IF($B7=que,que,pres)))</f>
        <v>Present?</v>
      </c>
      <c r="G7" s="284" t="str">
        <f>IF(OR($B7=yes,$B7=yes),'5-2 Prim metal'!W13,IF(OR($B7=no,$B7=no),"-",IF($B7=que,que,pres)))</f>
        <v>Present?</v>
      </c>
      <c r="H7" s="284" t="str">
        <f>IF(OR($B7=yes,$B7=yes),'5-2 Prim metal'!X13,IF(OR($B7=no,$B7=no),"-",IF($B7=que,que,pres)))</f>
        <v>Present?</v>
      </c>
      <c r="I7" s="284" t="str">
        <f>IF(OR($B7=yes,$B7=yes),'5-2 Prim metal'!Y13,IF(OR($B7=no,$B7=no),"-",IF($B7=que,que,pres)))</f>
        <v>Present?</v>
      </c>
      <c r="J7" s="284" t="str">
        <f>IF(OR($B7=yes,$B7=yes),'5-2 Prim metal'!Z13,IF(OR($B7=no,$B7=no),"-",IF($B7=que,que,pres)))</f>
        <v>Present?</v>
      </c>
      <c r="K7" s="284" t="str">
        <f>IF(OR($B7=yes,$B7=yes),'5-2 Prim metal'!AA13,IF(OR($B7=no,$B7=no),"-",IF($B7=que,que,pres)))</f>
        <v>Present?</v>
      </c>
      <c r="L7" s="277" t="s">
        <v>389</v>
      </c>
      <c r="M7" s="492"/>
      <c r="N7" s="346">
        <f>INDEX('Range-thresholds'!$G$6:$G$72,MATCH(A7,'Range-thresholds'!$A$6:$A$72,0))</f>
      </c>
    </row>
    <row r="8" spans="1:14" ht="12.75">
      <c r="A8" s="274" t="s">
        <v>387</v>
      </c>
      <c r="B8" s="402"/>
      <c r="C8" s="389"/>
      <c r="D8" s="352" t="s">
        <v>996</v>
      </c>
      <c r="E8" s="488" t="str">
        <f>IF(OR($B8=yes,$B8=yes),'5-2 Prim metal'!K19,IF(OR($B8=no,$B8=no),"-",IF($B8=que,que,pres)))</f>
        <v>Present?</v>
      </c>
      <c r="F8" s="284" t="str">
        <f>IF(OR($B8=yes,$B8=yes),'5-2 Prim metal'!V19,IF(OR($B8=no,$B8=no),"-",IF($B8=que,que,pres)))</f>
        <v>Present?</v>
      </c>
      <c r="G8" s="284" t="str">
        <f>IF(OR($B8=yes,$B8=yes),'5-2 Prim metal'!W19,IF(OR($B8=no,$B8=no),"-",IF($B8=que,que,pres)))</f>
        <v>Present?</v>
      </c>
      <c r="H8" s="284" t="str">
        <f>IF(OR($B8=yes,$B8=yes),'5-2 Prim metal'!X19,IF(OR($B8=no,$B8=no),"-",IF($B8=que,que,pres)))</f>
        <v>Present?</v>
      </c>
      <c r="I8" s="284" t="str">
        <f>IF(OR($B8=yes,$B8=yes),'5-2 Prim metal'!Y19,IF(OR($B8=no,$B8=no),"-",IF($B8=que,que,pres)))</f>
        <v>Present?</v>
      </c>
      <c r="J8" s="284" t="str">
        <f>IF(OR($B8=yes,$B8=yes),'5-2 Prim metal'!Z19,IF(OR($B8=no,$B8=no),"-",IF($B8=que,que,pres)))</f>
        <v>Present?</v>
      </c>
      <c r="K8" s="284" t="str">
        <f>IF(OR($B8=yes,$B8=yes),'5-2 Prim metal'!AA19,IF(OR($B8=no,$B8=no),"-",IF($B8=que,que,pres)))</f>
        <v>Present?</v>
      </c>
      <c r="L8" s="277" t="s">
        <v>390</v>
      </c>
      <c r="M8" s="492"/>
      <c r="N8" s="346">
        <f>INDEX('Range-thresholds'!$G$6:$G$72,MATCH(A8,'Range-thresholds'!$A$6:$A$72,0))</f>
      </c>
    </row>
    <row r="9" spans="1:14" ht="12.75">
      <c r="A9" s="274" t="s">
        <v>388</v>
      </c>
      <c r="B9" s="402"/>
      <c r="C9" s="389"/>
      <c r="D9" s="352" t="s">
        <v>996</v>
      </c>
      <c r="E9" s="488" t="str">
        <f>IF(OR($B9=yes,$B9=yes),'5-2 Prim metal'!K23,IF(OR($B9=no,$B9=no),"-",IF($B9=que,que,pres)))</f>
        <v>Present?</v>
      </c>
      <c r="F9" s="284" t="str">
        <f>IF(OR($B9=yes,$B9=yes),'5-2 Prim metal'!V21,IF(OR($B9=no,$B9=no),"-",IF($B9=que,que,pres)))</f>
        <v>Present?</v>
      </c>
      <c r="G9" s="284" t="str">
        <f>IF(OR($B9=yes,$B9=yes),'5-2 Prim metal'!W21,IF(OR($B9=no,$B9=no),"-",IF($B9=que,que,pres)))</f>
        <v>Present?</v>
      </c>
      <c r="H9" s="284" t="str">
        <f>IF(OR($B9=yes,$B9=yes),'5-2 Prim metal'!X21,IF(OR($B9=no,$B9=no),"-",IF($B9=que,que,pres)))</f>
        <v>Present?</v>
      </c>
      <c r="I9" s="284" t="str">
        <f>IF(OR($B9=yes,$B9=yes),'5-2 Prim metal'!Y21,IF(OR($B9=no,$B9=no),"-",IF($B9=que,que,pres)))</f>
        <v>Present?</v>
      </c>
      <c r="J9" s="284" t="str">
        <f>IF(OR($B9=yes,$B9=yes),'5-2 Prim metal'!Z21,IF(OR($B9=no,$B9=no),"-",IF($B9=que,que,pres)))</f>
        <v>Present?</v>
      </c>
      <c r="K9" s="284" t="str">
        <f>IF(OR($B9=yes,$B9=yes),'5-2 Prim metal'!AA21,IF(OR($B9=no,$B9=no),"-",IF($B9=que,que,pres)))</f>
        <v>Present?</v>
      </c>
      <c r="L9" s="277" t="s">
        <v>391</v>
      </c>
      <c r="M9" s="492"/>
      <c r="N9" s="346">
        <f>INDEX('Range-thresholds'!$G$6:$G$72,MATCH(A9,'Range-thresholds'!$A$6:$A$72,0))</f>
      </c>
    </row>
    <row r="10" spans="1:14" ht="25.5">
      <c r="A10" s="274" t="s">
        <v>386</v>
      </c>
      <c r="B10" s="402"/>
      <c r="C10" s="389"/>
      <c r="D10" s="352" t="s">
        <v>997</v>
      </c>
      <c r="E10" s="488" t="str">
        <f>IF(OR($B10=yes,$B10=yes),'5-2 Prim metal'!K25,IF(OR($B10=no,$B10=no),"-",IF($B10=que,que,pres)))</f>
        <v>Present?</v>
      </c>
      <c r="F10" s="284" t="str">
        <f>IF(OR($B10=yes,$B10=yes),'5-2 Prim metal'!V25,IF(OR($B10=no,$B10=no),"-",IF($B10=que,que,pres)))</f>
        <v>Present?</v>
      </c>
      <c r="G10" s="284" t="str">
        <f>IF(OR($B10=yes,$B10=yes),'5-2 Prim metal'!W25,IF(OR($B10=no,$B10=no),"-",IF($B10=que,que,pres)))</f>
        <v>Present?</v>
      </c>
      <c r="H10" s="284" t="str">
        <f>IF(OR($B10=yes,$B10=yes),'5-2 Prim metal'!X25,IF(OR($B10=no,$B10=no),"-",IF($B10=que,que,pres)))</f>
        <v>Present?</v>
      </c>
      <c r="I10" s="284" t="str">
        <f>IF(OR($B10=yes,$B10=yes),'5-2 Prim metal'!Y25,IF(OR($B10=no,$B10=no),"-",IF($B10=que,que,pres)))</f>
        <v>Present?</v>
      </c>
      <c r="J10" s="284" t="str">
        <f>IF(OR($B10=yes,$B10=yes),'5-2 Prim metal'!Z25,IF(OR($B10=no,$B10=no),"-",IF($B10=que,que,pres)))</f>
        <v>Present?</v>
      </c>
      <c r="K10" s="284" t="str">
        <f>IF(OR($B10=yes,$B10=yes),'5-2 Prim metal'!AA25,IF(OR($B10=no,$B10=no),"-",IF($B10=que,que,pres)))</f>
        <v>Present?</v>
      </c>
      <c r="L10" s="277" t="s">
        <v>392</v>
      </c>
      <c r="M10" s="492"/>
      <c r="N10" s="346">
        <f>INDEX('Range-thresholds'!$G$6:$G$72,MATCH(A10,'Range-thresholds'!$A$6:$A$72,0))</f>
      </c>
    </row>
    <row r="11" spans="1:14" ht="25.5">
      <c r="A11" s="279" t="s">
        <v>451</v>
      </c>
      <c r="B11" s="402"/>
      <c r="C11" s="389"/>
      <c r="D11" s="352" t="s">
        <v>998</v>
      </c>
      <c r="E11" s="488" t="str">
        <f>IF(OR($B11=yes,$B11=yes),'5-2 Prim metal'!K28,IF(OR($B11=no,$B11=no),"-",IF($B11=que,que,pres)))</f>
        <v>Present?</v>
      </c>
      <c r="F11" s="284" t="str">
        <f>IF(OR($B11=yes,$B11=yes),'5-2 Prim metal'!V28,IF(OR($B11=no,$B11=no),"-",IF($B11=que,que,pres)))</f>
        <v>Present?</v>
      </c>
      <c r="G11" s="284" t="str">
        <f>IF(OR($B11=yes,$B11=yes),'5-2 Prim metal'!W28,IF(OR($B11=no,$B11=no),"-",IF($B11=que,que,pres)))</f>
        <v>Present?</v>
      </c>
      <c r="H11" s="284" t="str">
        <f>IF(OR($B11=yes,$B11=yes),'5-2 Prim metal'!X28,IF(OR($B11=no,$B11=no),"-",IF($B11=que,que,pres)))</f>
        <v>Present?</v>
      </c>
      <c r="I11" s="284" t="str">
        <f>IF(OR($B11=yes,$B11=yes),'5-2 Prim metal'!Y28,IF(OR($B11=no,$B11=no),"-",IF($B11=que,que,pres)))</f>
        <v>Present?</v>
      </c>
      <c r="J11" s="284" t="str">
        <f>IF(OR($B11=yes,$B11=yes),'5-2 Prim metal'!Z28,IF(OR($B11=no,$B11=no),"-",IF($B11=que,que,pres)))</f>
        <v>Present?</v>
      </c>
      <c r="K11" s="284" t="str">
        <f>IF(OR($B11=yes,$B11=yes),'5-2 Prim metal'!AA28,IF(OR($B11=no,$B11=no),"-",IF($B11=que,que,pres)))</f>
        <v>Present?</v>
      </c>
      <c r="L11" s="277" t="s">
        <v>393</v>
      </c>
      <c r="M11" s="492"/>
      <c r="N11" s="346">
        <f>INDEX('Range-thresholds'!$G$6:$G$72,MATCH(A11,'Range-thresholds'!$A$6:$A$72,0))</f>
      </c>
    </row>
    <row r="12" spans="1:14" ht="25.5">
      <c r="A12" s="279" t="s">
        <v>882</v>
      </c>
      <c r="B12" s="402"/>
      <c r="C12" s="389"/>
      <c r="D12" s="362" t="s">
        <v>999</v>
      </c>
      <c r="E12" s="488" t="str">
        <f>IF(OR($B12=yes,$B12=yes),'5-2 Prim metal'!K33,IF(OR($B12=no,$B12=no),"-",IF($B12=que,que,pres)))</f>
        <v>Present?</v>
      </c>
      <c r="F12" s="284" t="str">
        <f>IF(OR($B12=yes,$B12=yes),'5-2 Prim metal'!V33,IF(OR($B12=no,$B12=no),"-",IF($B12=que,que,pres)))</f>
        <v>Present?</v>
      </c>
      <c r="G12" s="284" t="str">
        <f>IF(OR($B12=yes,$B12=yes),'5-2 Prim metal'!W33,IF(OR($B12=no,$B12=no),"-",IF($B12=que,que,pres)))</f>
        <v>Present?</v>
      </c>
      <c r="H12" s="284" t="str">
        <f>IF(OR($B12=yes,$B12=yes),'5-2 Prim metal'!X33,IF(OR($B12=no,$B12=no),"-",IF($B12=que,que,pres)))</f>
        <v>Present?</v>
      </c>
      <c r="I12" s="284" t="str">
        <f>IF(OR($B12=yes,$B12=yes),'5-2 Prim metal'!Y33,IF(OR($B12=no,$B12=no),"-",IF($B12=que,que,pres)))</f>
        <v>Present?</v>
      </c>
      <c r="J12" s="284" t="str">
        <f>IF(OR($B12=yes,$B12=yes),'5-2 Prim metal'!Z33,IF(OR($B12=no,$B12=no),"-",IF($B12=que,que,pres)))</f>
        <v>Present?</v>
      </c>
      <c r="K12" s="284" t="str">
        <f>IF(OR($B12=yes,$B12=yes),'5-2 Prim metal'!AA33,IF(OR($B12=no,$B12=no),"-",IF($B12=que,que,pres)))</f>
        <v>Present?</v>
      </c>
      <c r="L12" s="277" t="s">
        <v>394</v>
      </c>
      <c r="M12" s="492"/>
      <c r="N12" s="346">
        <f>INDEX('Range-thresholds'!$G$6:$G$72,MATCH(A12,'Range-thresholds'!$A$6:$A$72,0))</f>
      </c>
    </row>
    <row r="13" spans="1:14" ht="25.5">
      <c r="A13" s="279" t="s">
        <v>458</v>
      </c>
      <c r="B13" s="402"/>
      <c r="C13" s="389"/>
      <c r="D13" s="362" t="s">
        <v>1000</v>
      </c>
      <c r="E13" s="488" t="str">
        <f>IF(OR($B13=yes,$B13=yes),SUM('5-2 Prim metal'!K9:K10),IF(OR($B13=no,$B13=no),"-",IF($B13=que,que,pres)))</f>
        <v>Present?</v>
      </c>
      <c r="F13" s="284" t="str">
        <f>IF(OR($B13=yes,$B13=yes),SUM('5-2 Prim metal'!V9:V10),IF(OR($B13=no,$B13=no),"-",IF($B13=que,que,pres)))</f>
        <v>Present?</v>
      </c>
      <c r="G13" s="284" t="str">
        <f>IF(OR($B13=yes,$B13=yes),SUM('5-2 Prim metal'!W9:W10),IF(OR($B13=no,$B13=no),"-",IF($B13=que,que,pres)))</f>
        <v>Present?</v>
      </c>
      <c r="H13" s="284" t="str">
        <f>IF(OR($B13=yes,$B13=yes),SUM('5-2 Prim metal'!X9:X10),IF(OR($B13=no,$B13=no),"-",IF($B13=que,que,pres)))</f>
        <v>Present?</v>
      </c>
      <c r="I13" s="284" t="str">
        <f>IF(OR($B13=yes,$B13=yes),SUM('5-2 Prim metal'!Y9:Y10),IF(OR($B13=no,$B13=no),"-",IF($B13=que,que,pres)))</f>
        <v>Present?</v>
      </c>
      <c r="J13" s="284" t="str">
        <f>IF(OR($B13=yes,$B13=yes),SUM('5-2 Prim metal'!Z9:Z10),IF(OR($B13=no,$B13=no),"-",IF($B13=que,que,pres)))</f>
        <v>Present?</v>
      </c>
      <c r="K13" s="284" t="str">
        <f>IF(OR($B13=yes,$B13=yes),SUM('5-2 Prim metal'!AA9:AA10),IF(OR($B13=no,$B13=no),"-",IF($B13=que,que,pres)))</f>
        <v>Present?</v>
      </c>
      <c r="L13" s="277" t="s">
        <v>164</v>
      </c>
      <c r="M13" s="492"/>
      <c r="N13" s="346">
        <f>INDEX('Range-thresholds'!$G$6:$G$72,MATCH(A13,'Range-thresholds'!$A$6:$A$72,0))</f>
      </c>
    </row>
    <row r="14" spans="1:14" ht="25.5">
      <c r="A14" s="279" t="s">
        <v>459</v>
      </c>
      <c r="B14" s="402"/>
      <c r="C14" s="389"/>
      <c r="D14" s="362" t="s">
        <v>1000</v>
      </c>
      <c r="E14" s="488" t="str">
        <f>IF(OR($B14=yes,$B14=yes),'5-2 Prim metal'!K11,IF(OR($B14=no,$B14=no),"-",IF($B14=que,que,pres)))</f>
        <v>Present?</v>
      </c>
      <c r="F14" s="284" t="str">
        <f>IF(OR($B14=yes,$B14=yes),'5-2 Prim metal'!V11,IF(OR($B14=no,$B14=no),"-",IF($B14=que,que,pres)))</f>
        <v>Present?</v>
      </c>
      <c r="G14" s="284" t="str">
        <f>IF(OR($B14=yes,$B14=yes),'5-2 Prim metal'!W11,IF(OR($B14=no,$B14=no),"-",IF($B14=que,que,pres)))</f>
        <v>Present?</v>
      </c>
      <c r="H14" s="284" t="str">
        <f>IF(OR($B14=yes,$B14=yes),'5-2 Prim metal'!X11,IF(OR($B14=no,$B14=no),"-",IF($B14=que,que,pres)))</f>
        <v>Present?</v>
      </c>
      <c r="I14" s="284" t="str">
        <f>IF(OR($B14=yes,$B14=yes),'5-2 Prim metal'!Y11,IF(OR($B14=no,$B14=no),"-",IF($B14=que,que,pres)))</f>
        <v>Present?</v>
      </c>
      <c r="J14" s="284" t="str">
        <f>IF(OR($B14=yes,$B14=yes),'5-2 Prim metal'!Z11,IF(OR($B14=no,$B14=no),"-",IF($B14=que,que,pres)))</f>
        <v>Present?</v>
      </c>
      <c r="K14" s="284" t="str">
        <f>IF(OR($B14=yes,$B14=yes),'5-2 Prim metal'!AA11,IF(OR($B14=no,$B14=no),"-",IF($B14=que,que,pres)))</f>
        <v>Present?</v>
      </c>
      <c r="L14" s="277" t="s">
        <v>164</v>
      </c>
      <c r="M14" s="492"/>
      <c r="N14" s="346">
        <f>INDEX('Range-thresholds'!$G$6:$G$72,MATCH(A14,'Range-thresholds'!$A$6:$A$72,0))</f>
      </c>
    </row>
    <row r="15" spans="1:13" ht="12.75">
      <c r="A15" s="361" t="s">
        <v>462</v>
      </c>
      <c r="B15" s="403"/>
      <c r="C15" s="389"/>
      <c r="D15" s="362"/>
      <c r="E15" s="488"/>
      <c r="F15" s="284"/>
      <c r="G15" s="284"/>
      <c r="H15" s="284"/>
      <c r="I15" s="284"/>
      <c r="J15" s="284"/>
      <c r="K15" s="284"/>
      <c r="L15" s="276"/>
      <c r="M15" s="492"/>
    </row>
    <row r="16" spans="1:14" ht="12.75">
      <c r="A16" s="279" t="s">
        <v>395</v>
      </c>
      <c r="B16" s="402"/>
      <c r="C16" s="389"/>
      <c r="D16" s="352" t="s">
        <v>1001</v>
      </c>
      <c r="E16" s="488" t="str">
        <f>IF(OR($B16=yes,$B16=yes),'5-3 Other min + mat'!K6,IF(OR($B16=no,$B16=no),"-",IF($B16=que,que,pres)))</f>
        <v>Present?</v>
      </c>
      <c r="F16" s="284" t="str">
        <f>IF(OR($B16=yes,$B16=yes),'5-3 Other min + mat'!V6,IF(OR($B16=no,$B16=no),"-",IF($B16=que,que,pres)))</f>
        <v>Present?</v>
      </c>
      <c r="G16" s="284" t="str">
        <f>IF(OR($B16=yes,$B16=yes),'5-3 Other min + mat'!W6,IF(OR($B16=no,$B16=no),"-",IF($B16=que,que,pres)))</f>
        <v>Present?</v>
      </c>
      <c r="H16" s="284" t="str">
        <f>IF(OR($B16=yes,$B16=yes),'5-3 Other min + mat'!X6,IF(OR($B16=no,$B16=no),"-",IF($B16=que,que,pres)))</f>
        <v>Present?</v>
      </c>
      <c r="I16" s="284" t="str">
        <f>IF(OR($B16=yes,$B16=yes),'5-3 Other min + mat'!Y6,IF(OR($B16=no,$B16=no),"-",IF($B16=que,que,pres)))</f>
        <v>Present?</v>
      </c>
      <c r="J16" s="284" t="str">
        <f>IF(OR($B16=yes,$B16=yes),'5-3 Other min + mat'!Z6,IF(OR($B16=no,$B16=no),"-",IF($B16=que,que,pres)))</f>
        <v>Present?</v>
      </c>
      <c r="K16" s="284" t="str">
        <f>IF(OR($B16=yes,$B16=yes),'5-3 Other min + mat'!AA6,IF(OR($B16=no,$B16=no),"-",IF($B16=que,que,pres)))</f>
        <v>Present?</v>
      </c>
      <c r="L16" s="277" t="s">
        <v>196</v>
      </c>
      <c r="M16" s="492"/>
      <c r="N16" s="346">
        <f>INDEX('Range-thresholds'!$G$6:$G$72,MATCH(A16,'Range-thresholds'!$A$6:$A$72,0))</f>
      </c>
    </row>
    <row r="17" spans="1:14" ht="13.5" thickBot="1">
      <c r="A17" s="279" t="s">
        <v>198</v>
      </c>
      <c r="B17" s="375"/>
      <c r="C17" s="416"/>
      <c r="D17" s="352" t="s">
        <v>1002</v>
      </c>
      <c r="E17" s="488" t="str">
        <f>IF(OR($B17=yes,$B17=yes),'5-3 Other min + mat'!K11,IF(OR($B17=no,$B17=no),"-",IF($B17=que,que,pres)))</f>
        <v>Present?</v>
      </c>
      <c r="F17" s="284" t="str">
        <f>IF(OR($B17=yes,$B17=yes),'5-3 Other min + mat'!V11,IF(OR($B17=no,$B17=no),"-",IF($B17=que,que,pres)))</f>
        <v>Present?</v>
      </c>
      <c r="G17" s="284" t="str">
        <f>IF(OR($B17=yes,$B17=yes),'5-3 Other min + mat'!W11,IF(OR($B17=no,$B17=no),"-",IF($B17=que,que,pres)))</f>
        <v>Present?</v>
      </c>
      <c r="H17" s="284" t="str">
        <f>IF(OR($B17=yes,$B17=yes),'5-3 Other min + mat'!X11,IF(OR($B17=no,$B17=no),"-",IF($B17=que,que,pres)))</f>
        <v>Present?</v>
      </c>
      <c r="I17" s="284" t="str">
        <f>IF(OR($B17=yes,$B17=yes),'5-3 Other min + mat'!Y11,IF(OR($B17=no,$B17=no),"-",IF($B17=que,que,pres)))</f>
        <v>Present?</v>
      </c>
      <c r="J17" s="284" t="str">
        <f>IF(OR($B17=yes,$B17=yes),'5-3 Other min + mat'!Z11,IF(OR($B17=no,$B17=no),"-",IF($B17=que,que,pres)))</f>
        <v>Present?</v>
      </c>
      <c r="K17" s="284" t="str">
        <f>IF(OR($B17=yes,$B17=yes),'5-3 Other min + mat'!AA11,IF(OR($B17=no,$B17=no),"-",IF($B17=que,que,pres)))</f>
        <v>Present?</v>
      </c>
      <c r="L17" s="277" t="s">
        <v>197</v>
      </c>
      <c r="M17" s="492"/>
      <c r="N17" s="346">
        <f>INDEX('Range-thresholds'!$G$6:$G$72,MATCH(A17,'Range-thresholds'!$A$6:$A$72,0))</f>
      </c>
    </row>
    <row r="20" ht="12.75">
      <c r="A20" s="683" t="s">
        <v>983</v>
      </c>
    </row>
    <row r="21" ht="12.75">
      <c r="A21" s="683" t="s">
        <v>984</v>
      </c>
    </row>
  </sheetData>
  <sheetProtection password="83AF" sheet="1"/>
  <mergeCells count="2">
    <mergeCell ref="F3:K3"/>
    <mergeCell ref="A2:L2"/>
  </mergeCells>
  <conditionalFormatting sqref="A2">
    <cfRule type="expression" priority="1" dxfId="0" stopIfTrue="1">
      <formula>$A$2&lt;&gt;""</formula>
    </cfRule>
  </conditionalFormatting>
  <conditionalFormatting sqref="E6:E17">
    <cfRule type="expression" priority="3" dxfId="0" stopIfTrue="1">
      <formula>AND(B6="y",N6="n")</formula>
    </cfRule>
  </conditionalFormatting>
  <dataValidations count="2">
    <dataValidation type="decimal" allowBlank="1" showInputMessage="1" showErrorMessage="1" promptTitle="Input cell" prompt="Use digits and decimal mark only." errorTitle="Input error" error="Use digits and decimal mark only." sqref="C6:C14 C16:C17">
      <formula1>-99999999999999900000000</formula1>
      <formula2>9.99999999999999E+22</formula2>
    </dataValidation>
    <dataValidation type="list" allowBlank="1" showInputMessage="1" showErrorMessage="1" errorTitle="Input error" error="Enter only y, n or ? (or translation of these)" sqref="B6:B17">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83" r:id="rId1"/>
  <headerFooter>
    <oddFooter>&amp;L&amp;A
Printed &amp;D</oddFooter>
  </headerFooter>
</worksheet>
</file>

<file path=xl/worksheets/sheet5.xml><?xml version="1.0" encoding="utf-8"?>
<worksheet xmlns="http://schemas.openxmlformats.org/spreadsheetml/2006/main" xmlns:r="http://schemas.openxmlformats.org/officeDocument/2006/relationships">
  <dimension ref="A1:AB38"/>
  <sheetViews>
    <sheetView zoomScalePageLayoutView="0" workbookViewId="0" topLeftCell="A1">
      <selection activeCell="C11" sqref="C11"/>
    </sheetView>
  </sheetViews>
  <sheetFormatPr defaultColWidth="9.140625" defaultRowHeight="12.75"/>
  <cols>
    <col min="1" max="1" width="3.00390625" style="0" customWidth="1"/>
    <col min="2" max="2" width="6.140625" style="0" customWidth="1"/>
    <col min="3" max="3" width="36.28125" style="0" customWidth="1"/>
    <col min="4" max="4" width="7.28125" style="0" customWidth="1"/>
    <col min="5" max="5" width="9.28125" style="0" customWidth="1"/>
    <col min="6" max="6" width="21.00390625" style="0" customWidth="1"/>
    <col min="7" max="7" width="10.28125" style="0" customWidth="1"/>
    <col min="8" max="8" width="19.140625" style="0" customWidth="1"/>
    <col min="9" max="9" width="12.57421875" style="242" customWidth="1"/>
    <col min="10" max="10" width="17.7109375" style="0" customWidth="1"/>
    <col min="11" max="11" width="12.28125" style="242" customWidth="1"/>
    <col min="12" max="12" width="11.57421875" style="0" customWidth="1"/>
    <col min="13" max="13" width="17.421875" style="13" customWidth="1"/>
    <col min="14" max="14" width="9.140625" style="242" customWidth="1"/>
    <col min="15" max="15" width="10.8515625" style="0" customWidth="1"/>
    <col min="16" max="16" width="6.421875" style="0" customWidth="1"/>
    <col min="17" max="18" width="7.57421875" style="0" customWidth="1"/>
    <col min="19" max="19" width="9.7109375" style="0" customWidth="1"/>
    <col min="20" max="20" width="8.57421875" style="0" customWidth="1"/>
    <col min="21" max="21" width="18.71093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42.28125" style="0" customWidth="1"/>
  </cols>
  <sheetData>
    <row r="1" spans="1:14" ht="18">
      <c r="A1" s="1" t="s">
        <v>34</v>
      </c>
      <c r="I1" s="232"/>
      <c r="K1" s="232"/>
      <c r="L1" s="48"/>
      <c r="M1" s="48"/>
      <c r="N1" s="232"/>
    </row>
    <row r="2" spans="1:14" ht="15">
      <c r="A2" s="54" t="s">
        <v>322</v>
      </c>
      <c r="I2" s="232"/>
      <c r="K2" s="232"/>
      <c r="L2" s="48"/>
      <c r="M2" s="48"/>
      <c r="N2" s="232"/>
    </row>
    <row r="3" spans="4:28" ht="12.75">
      <c r="D3" s="3"/>
      <c r="E3" s="3"/>
      <c r="F3" s="3"/>
      <c r="G3" s="3"/>
      <c r="H3" s="3"/>
      <c r="I3" s="233"/>
      <c r="J3" s="3"/>
      <c r="K3" s="233"/>
      <c r="L3" s="104"/>
      <c r="M3" s="104"/>
      <c r="N3" s="233"/>
      <c r="O3" s="3"/>
      <c r="P3" s="65" t="s">
        <v>55</v>
      </c>
      <c r="Q3" s="2"/>
      <c r="R3" s="2"/>
      <c r="S3" s="2"/>
      <c r="T3" s="2"/>
      <c r="U3" s="2"/>
      <c r="V3" s="10" t="s">
        <v>54</v>
      </c>
      <c r="W3" s="4"/>
      <c r="X3" s="4"/>
      <c r="Y3" s="4"/>
      <c r="Z3" s="4"/>
      <c r="AA3" s="4"/>
      <c r="AB3" s="2"/>
    </row>
    <row r="4" spans="1:28" s="123" customFormat="1" ht="51">
      <c r="A4" s="123" t="s">
        <v>52</v>
      </c>
      <c r="B4" s="123" t="s">
        <v>50</v>
      </c>
      <c r="C4" s="140" t="s">
        <v>59</v>
      </c>
      <c r="D4" s="112" t="s">
        <v>159</v>
      </c>
      <c r="E4" s="141" t="s">
        <v>49</v>
      </c>
      <c r="F4" s="142" t="s">
        <v>35</v>
      </c>
      <c r="G4" s="112" t="s">
        <v>37</v>
      </c>
      <c r="H4" s="143" t="s">
        <v>35</v>
      </c>
      <c r="I4" s="247" t="s">
        <v>51</v>
      </c>
      <c r="J4" s="144" t="s">
        <v>35</v>
      </c>
      <c r="K4" s="243" t="s">
        <v>61</v>
      </c>
      <c r="L4" s="156" t="s">
        <v>35</v>
      </c>
      <c r="M4" s="157" t="s">
        <v>289</v>
      </c>
      <c r="N4" s="247" t="s">
        <v>94</v>
      </c>
      <c r="O4" s="145" t="s">
        <v>35</v>
      </c>
      <c r="P4" s="147" t="s">
        <v>38</v>
      </c>
      <c r="Q4" s="147" t="s">
        <v>39</v>
      </c>
      <c r="R4" s="147" t="s">
        <v>40</v>
      </c>
      <c r="S4" s="147" t="s">
        <v>41</v>
      </c>
      <c r="T4" s="148" t="s">
        <v>42</v>
      </c>
      <c r="U4" s="148" t="s">
        <v>237</v>
      </c>
      <c r="V4" s="56" t="s">
        <v>38</v>
      </c>
      <c r="W4" s="56" t="s">
        <v>39</v>
      </c>
      <c r="X4" s="56" t="s">
        <v>40</v>
      </c>
      <c r="Y4" s="56" t="s">
        <v>41</v>
      </c>
      <c r="Z4" s="57" t="s">
        <v>42</v>
      </c>
      <c r="AA4" s="57" t="s">
        <v>237</v>
      </c>
      <c r="AB4" s="111" t="s">
        <v>89</v>
      </c>
    </row>
    <row r="5" spans="1:28" s="129" customFormat="1" ht="25.5">
      <c r="A5" s="129" t="s">
        <v>162</v>
      </c>
      <c r="C5" s="134" t="s">
        <v>325</v>
      </c>
      <c r="D5" s="111"/>
      <c r="F5" s="128"/>
      <c r="G5" s="76"/>
      <c r="H5" s="128"/>
      <c r="I5" s="249"/>
      <c r="K5" s="237"/>
      <c r="L5" s="128"/>
      <c r="M5" s="135"/>
      <c r="N5" s="249"/>
      <c r="O5" s="128"/>
      <c r="P5" s="127"/>
      <c r="Q5" s="127"/>
      <c r="R5" s="127"/>
      <c r="S5" s="127"/>
      <c r="T5" s="127"/>
      <c r="U5" s="127"/>
      <c r="V5" s="58"/>
      <c r="W5" s="58"/>
      <c r="X5" s="58"/>
      <c r="Y5" s="58"/>
      <c r="Z5" s="58"/>
      <c r="AA5" s="58"/>
      <c r="AB5" s="76"/>
    </row>
    <row r="6" spans="2:28" ht="25.5">
      <c r="B6" t="s">
        <v>163</v>
      </c>
      <c r="C6" s="12" t="s">
        <v>167</v>
      </c>
      <c r="D6" s="120"/>
      <c r="E6" s="346" t="s">
        <v>551</v>
      </c>
      <c r="F6" s="3" t="s">
        <v>534</v>
      </c>
      <c r="G6" s="345">
        <v>1030</v>
      </c>
      <c r="H6" s="3" t="s">
        <v>534</v>
      </c>
      <c r="I6" s="252">
        <f>'Step3-Metals-RawMat'!C6</f>
        <v>0</v>
      </c>
      <c r="J6" s="282" t="s">
        <v>455</v>
      </c>
      <c r="K6" s="234">
        <f>I6*G6</f>
        <v>0</v>
      </c>
      <c r="L6" s="3" t="s">
        <v>36</v>
      </c>
      <c r="M6" s="14"/>
      <c r="N6" s="248">
        <f>K6-(1000*I6)</f>
        <v>0</v>
      </c>
      <c r="O6" s="3" t="s">
        <v>36</v>
      </c>
      <c r="P6" s="350">
        <v>0.25</v>
      </c>
      <c r="Q6" s="350">
        <v>0.06</v>
      </c>
      <c r="R6" s="350">
        <v>0.69</v>
      </c>
      <c r="S6" s="350"/>
      <c r="T6" s="350"/>
      <c r="U6" s="350"/>
      <c r="V6" s="133">
        <f aca="true" t="shared" si="0" ref="V6:AA6">$N6*P6</f>
        <v>0</v>
      </c>
      <c r="W6" s="133">
        <f t="shared" si="0"/>
        <v>0</v>
      </c>
      <c r="X6" s="133">
        <f t="shared" si="0"/>
        <v>0</v>
      </c>
      <c r="Y6" s="133">
        <f t="shared" si="0"/>
        <v>0</v>
      </c>
      <c r="Z6" s="133">
        <f t="shared" si="0"/>
        <v>0</v>
      </c>
      <c r="AA6" s="133">
        <f t="shared" si="0"/>
        <v>0</v>
      </c>
      <c r="AB6" s="119"/>
    </row>
    <row r="7" spans="3:28" s="55" customFormat="1" ht="12.75">
      <c r="C7" s="136"/>
      <c r="D7" s="111"/>
      <c r="E7" s="106"/>
      <c r="F7" s="104"/>
      <c r="G7" s="76"/>
      <c r="H7" s="104"/>
      <c r="I7" s="250"/>
      <c r="K7" s="236"/>
      <c r="L7" s="104"/>
      <c r="M7" s="110"/>
      <c r="N7" s="250"/>
      <c r="O7" s="104"/>
      <c r="P7" s="132"/>
      <c r="Q7" s="132"/>
      <c r="R7" s="132"/>
      <c r="S7" s="132"/>
      <c r="T7" s="132"/>
      <c r="U7" s="132"/>
      <c r="V7" s="116"/>
      <c r="W7" s="116"/>
      <c r="X7" s="116"/>
      <c r="Y7" s="116"/>
      <c r="Z7" s="116"/>
      <c r="AA7" s="116"/>
      <c r="AB7" s="76"/>
    </row>
    <row r="8" spans="2:28" ht="38.25">
      <c r="B8" s="3" t="s">
        <v>164</v>
      </c>
      <c r="C8" s="26" t="s">
        <v>165</v>
      </c>
      <c r="D8" s="120"/>
      <c r="E8" s="6"/>
      <c r="F8" s="3"/>
      <c r="G8" s="119"/>
      <c r="H8" s="3"/>
      <c r="I8" s="252"/>
      <c r="K8" s="244"/>
      <c r="L8" s="3"/>
      <c r="M8" s="33"/>
      <c r="N8" s="252"/>
      <c r="O8" s="3"/>
      <c r="P8" s="132"/>
      <c r="Q8" s="132"/>
      <c r="R8" s="132"/>
      <c r="S8" s="132"/>
      <c r="T8" s="132"/>
      <c r="U8" s="132"/>
      <c r="V8" s="133">
        <f aca="true" t="shared" si="1" ref="V8:AA8">SUM(V9:V11)</f>
        <v>0</v>
      </c>
      <c r="W8" s="133">
        <f t="shared" si="1"/>
        <v>0</v>
      </c>
      <c r="X8" s="133">
        <f t="shared" si="1"/>
        <v>0</v>
      </c>
      <c r="Y8" s="133">
        <f t="shared" si="1"/>
        <v>0</v>
      </c>
      <c r="Z8" s="133">
        <f t="shared" si="1"/>
        <v>0</v>
      </c>
      <c r="AA8" s="133">
        <f t="shared" si="1"/>
        <v>0</v>
      </c>
      <c r="AB8" s="119"/>
    </row>
    <row r="9" spans="2:28" ht="38.25">
      <c r="B9" s="3"/>
      <c r="C9" s="66" t="s">
        <v>188</v>
      </c>
      <c r="D9" s="76"/>
      <c r="E9" s="11" t="s">
        <v>189</v>
      </c>
      <c r="F9" s="3" t="s">
        <v>190</v>
      </c>
      <c r="G9" s="287">
        <v>3</v>
      </c>
      <c r="H9" s="3" t="s">
        <v>190</v>
      </c>
      <c r="I9" s="250">
        <f>'Step3-Metals-RawMat'!$C$13*0.5</f>
        <v>0</v>
      </c>
      <c r="J9" s="3" t="s">
        <v>191</v>
      </c>
      <c r="K9" s="237">
        <f>G9*I9</f>
        <v>0</v>
      </c>
      <c r="L9" s="3" t="s">
        <v>36</v>
      </c>
      <c r="M9" s="33" t="s">
        <v>959</v>
      </c>
      <c r="N9" s="281">
        <f>K9</f>
        <v>0</v>
      </c>
      <c r="O9" s="3" t="s">
        <v>36</v>
      </c>
      <c r="P9" s="350">
        <v>0.25</v>
      </c>
      <c r="Q9" s="350">
        <v>0.4</v>
      </c>
      <c r="R9" s="350">
        <v>0.35</v>
      </c>
      <c r="S9" s="132"/>
      <c r="T9" s="132"/>
      <c r="U9" s="132"/>
      <c r="V9" s="116">
        <f aca="true" t="shared" si="2" ref="V9:AA11">$N9*P9</f>
        <v>0</v>
      </c>
      <c r="W9" s="116">
        <f>$N9*Q9</f>
        <v>0</v>
      </c>
      <c r="X9" s="116">
        <f>$N9*R9</f>
        <v>0</v>
      </c>
      <c r="Y9" s="116">
        <f>$N9*S9</f>
        <v>0</v>
      </c>
      <c r="Z9" s="116">
        <f>$N9*T9</f>
        <v>0</v>
      </c>
      <c r="AA9" s="116">
        <f>$N9*U9</f>
        <v>0</v>
      </c>
      <c r="AB9" s="76"/>
    </row>
    <row r="10" spans="2:28" ht="38.25">
      <c r="B10" s="3"/>
      <c r="C10" s="66" t="s">
        <v>192</v>
      </c>
      <c r="D10" s="76"/>
      <c r="E10" s="631" t="s">
        <v>958</v>
      </c>
      <c r="F10" s="3" t="s">
        <v>190</v>
      </c>
      <c r="G10" s="343">
        <v>1.3</v>
      </c>
      <c r="H10" s="3" t="s">
        <v>190</v>
      </c>
      <c r="I10" s="250">
        <f>'Step3-Metals-RawMat'!$C$13*0.5</f>
        <v>0</v>
      </c>
      <c r="J10" s="3" t="s">
        <v>191</v>
      </c>
      <c r="K10" s="237">
        <f>G10*I10</f>
        <v>0</v>
      </c>
      <c r="L10" s="3" t="s">
        <v>36</v>
      </c>
      <c r="M10" s="33" t="s">
        <v>960</v>
      </c>
      <c r="N10" s="281">
        <f>K10</f>
        <v>0</v>
      </c>
      <c r="O10" s="3" t="s">
        <v>36</v>
      </c>
      <c r="P10" s="350">
        <v>0.75</v>
      </c>
      <c r="Q10" s="350">
        <v>0.13</v>
      </c>
      <c r="R10" s="350">
        <v>0.12</v>
      </c>
      <c r="S10" s="132"/>
      <c r="T10" s="132"/>
      <c r="U10" s="132"/>
      <c r="V10" s="116">
        <f t="shared" si="2"/>
        <v>0</v>
      </c>
      <c r="W10" s="116">
        <f t="shared" si="2"/>
        <v>0</v>
      </c>
      <c r="X10" s="116">
        <f t="shared" si="2"/>
        <v>0</v>
      </c>
      <c r="Y10" s="116">
        <f t="shared" si="2"/>
        <v>0</v>
      </c>
      <c r="Z10" s="116">
        <f t="shared" si="2"/>
        <v>0</v>
      </c>
      <c r="AA10" s="116">
        <f t="shared" si="2"/>
        <v>0</v>
      </c>
      <c r="AB10" s="76"/>
    </row>
    <row r="11" spans="2:28" ht="76.5">
      <c r="B11" s="3"/>
      <c r="C11" s="66" t="s">
        <v>193</v>
      </c>
      <c r="D11" s="76"/>
      <c r="E11" s="631" t="s">
        <v>933</v>
      </c>
      <c r="F11" s="3" t="s">
        <v>190</v>
      </c>
      <c r="G11" s="287">
        <v>0.1</v>
      </c>
      <c r="H11" s="3" t="s">
        <v>190</v>
      </c>
      <c r="I11" s="250">
        <f>'Step3-Metals-RawMat'!C14</f>
        <v>0</v>
      </c>
      <c r="J11" s="3" t="s">
        <v>191</v>
      </c>
      <c r="K11" s="237">
        <f>G11*I11</f>
        <v>0</v>
      </c>
      <c r="L11" s="3" t="s">
        <v>36</v>
      </c>
      <c r="M11" s="33" t="s">
        <v>961</v>
      </c>
      <c r="N11" s="281">
        <f>K11</f>
        <v>0</v>
      </c>
      <c r="O11" s="3" t="s">
        <v>36</v>
      </c>
      <c r="P11" s="350">
        <v>0.2</v>
      </c>
      <c r="Q11" s="350">
        <v>0.4</v>
      </c>
      <c r="R11" s="350">
        <v>0.4</v>
      </c>
      <c r="S11" s="132"/>
      <c r="T11" s="132"/>
      <c r="U11" s="132"/>
      <c r="V11" s="116">
        <f t="shared" si="2"/>
        <v>0</v>
      </c>
      <c r="W11" s="116">
        <f t="shared" si="2"/>
        <v>0</v>
      </c>
      <c r="X11" s="116">
        <f t="shared" si="2"/>
        <v>0</v>
      </c>
      <c r="Y11" s="116">
        <f t="shared" si="2"/>
        <v>0</v>
      </c>
      <c r="Z11" s="116">
        <f t="shared" si="2"/>
        <v>0</v>
      </c>
      <c r="AA11" s="116">
        <f t="shared" si="2"/>
        <v>0</v>
      </c>
      <c r="AB11" s="76"/>
    </row>
    <row r="12" spans="2:28" s="55" customFormat="1" ht="12.75">
      <c r="B12" s="104"/>
      <c r="C12" s="137"/>
      <c r="D12" s="76"/>
      <c r="E12" s="106"/>
      <c r="F12" s="104"/>
      <c r="G12" s="76"/>
      <c r="H12" s="104"/>
      <c r="I12" s="250"/>
      <c r="K12" s="236"/>
      <c r="L12" s="104"/>
      <c r="M12" s="138"/>
      <c r="N12" s="250"/>
      <c r="O12" s="104"/>
      <c r="P12" s="132"/>
      <c r="Q12" s="132"/>
      <c r="R12" s="132"/>
      <c r="S12" s="132"/>
      <c r="T12" s="132"/>
      <c r="U12" s="132"/>
      <c r="V12" s="116"/>
      <c r="W12" s="116"/>
      <c r="X12" s="116"/>
      <c r="Y12" s="116"/>
      <c r="Z12" s="116"/>
      <c r="AA12" s="116"/>
      <c r="AB12" s="76"/>
    </row>
    <row r="13" spans="2:28" ht="25.5">
      <c r="B13" t="s">
        <v>174</v>
      </c>
      <c r="C13" s="12" t="s">
        <v>166</v>
      </c>
      <c r="D13" s="119"/>
      <c r="E13" s="6"/>
      <c r="F13" s="3"/>
      <c r="G13" s="119"/>
      <c r="H13" s="3"/>
      <c r="I13" s="252"/>
      <c r="K13" s="244"/>
      <c r="L13" s="3" t="s">
        <v>36</v>
      </c>
      <c r="M13" s="33"/>
      <c r="N13" s="252"/>
      <c r="O13" s="3"/>
      <c r="P13" s="132"/>
      <c r="Q13" s="132"/>
      <c r="R13" s="132"/>
      <c r="S13" s="132"/>
      <c r="T13" s="132"/>
      <c r="U13" s="132"/>
      <c r="V13" s="133">
        <f aca="true" t="shared" si="3" ref="V13:AA13">SUM(V14:V15)</f>
        <v>0</v>
      </c>
      <c r="W13" s="133">
        <f t="shared" si="3"/>
        <v>0</v>
      </c>
      <c r="X13" s="133">
        <f t="shared" si="3"/>
        <v>0</v>
      </c>
      <c r="Y13" s="133">
        <f t="shared" si="3"/>
        <v>0</v>
      </c>
      <c r="Z13" s="133">
        <f t="shared" si="3"/>
        <v>0</v>
      </c>
      <c r="AA13" s="133">
        <f t="shared" si="3"/>
        <v>0</v>
      </c>
      <c r="AB13" s="119"/>
    </row>
    <row r="14" spans="3:28" ht="12.75">
      <c r="C14" s="12" t="s">
        <v>168</v>
      </c>
      <c r="D14" s="76"/>
      <c r="E14" s="35" t="s">
        <v>43</v>
      </c>
      <c r="F14" s="3" t="s">
        <v>43</v>
      </c>
      <c r="G14" s="76" t="s">
        <v>43</v>
      </c>
      <c r="H14" s="3" t="s">
        <v>43</v>
      </c>
      <c r="I14" s="250"/>
      <c r="K14" s="236"/>
      <c r="L14" s="3" t="s">
        <v>36</v>
      </c>
      <c r="M14" s="33"/>
      <c r="N14" s="249"/>
      <c r="O14" s="3" t="s">
        <v>36</v>
      </c>
      <c r="P14" s="132"/>
      <c r="Q14" s="132"/>
      <c r="R14" s="132"/>
      <c r="S14" s="132"/>
      <c r="T14" s="132"/>
      <c r="U14" s="132"/>
      <c r="V14" s="116">
        <f aca="true" t="shared" si="4" ref="V14:AA15">$N14*P14</f>
        <v>0</v>
      </c>
      <c r="W14" s="116">
        <f t="shared" si="4"/>
        <v>0</v>
      </c>
      <c r="X14" s="116">
        <f t="shared" si="4"/>
        <v>0</v>
      </c>
      <c r="Y14" s="116">
        <f t="shared" si="4"/>
        <v>0</v>
      </c>
      <c r="Z14" s="116">
        <f t="shared" si="4"/>
        <v>0</v>
      </c>
      <c r="AA14" s="116">
        <f t="shared" si="4"/>
        <v>0</v>
      </c>
      <c r="AB14" s="76"/>
    </row>
    <row r="15" spans="3:28" ht="38.25">
      <c r="C15" s="12" t="s">
        <v>169</v>
      </c>
      <c r="D15" s="76"/>
      <c r="E15" s="629" t="s">
        <v>934</v>
      </c>
      <c r="F15" s="3" t="s">
        <v>354</v>
      </c>
      <c r="G15" s="76">
        <v>65</v>
      </c>
      <c r="H15" s="36" t="s">
        <v>456</v>
      </c>
      <c r="I15" s="250">
        <f>'Step3-Metals-RawMat'!C7</f>
        <v>0</v>
      </c>
      <c r="J15" t="s">
        <v>338</v>
      </c>
      <c r="K15" s="236">
        <f>G15*I15/1000</f>
        <v>0</v>
      </c>
      <c r="L15" s="3" t="s">
        <v>36</v>
      </c>
      <c r="M15" s="33" t="s">
        <v>935</v>
      </c>
      <c r="N15" s="330">
        <f>K15</f>
        <v>0</v>
      </c>
      <c r="O15" s="3" t="s">
        <v>36</v>
      </c>
      <c r="P15" s="132">
        <v>0.1</v>
      </c>
      <c r="Q15" s="132">
        <v>0.02</v>
      </c>
      <c r="R15" s="132"/>
      <c r="S15" s="132">
        <v>0.42</v>
      </c>
      <c r="T15" s="132"/>
      <c r="U15" s="132">
        <v>0.46</v>
      </c>
      <c r="V15" s="116">
        <f t="shared" si="4"/>
        <v>0</v>
      </c>
      <c r="W15" s="116">
        <f t="shared" si="4"/>
        <v>0</v>
      </c>
      <c r="X15" s="116">
        <f t="shared" si="4"/>
        <v>0</v>
      </c>
      <c r="Y15" s="116">
        <f t="shared" si="4"/>
        <v>0</v>
      </c>
      <c r="Z15" s="116">
        <f t="shared" si="4"/>
        <v>0</v>
      </c>
      <c r="AA15" s="116">
        <f t="shared" si="4"/>
        <v>0</v>
      </c>
      <c r="AB15" s="76"/>
    </row>
    <row r="16" spans="3:28" s="55" customFormat="1" ht="12.75">
      <c r="C16" s="105"/>
      <c r="D16" s="76"/>
      <c r="G16" s="76"/>
      <c r="I16" s="249"/>
      <c r="K16" s="237"/>
      <c r="M16" s="107"/>
      <c r="N16" s="250"/>
      <c r="O16" s="104"/>
      <c r="P16" s="132"/>
      <c r="Q16" s="132"/>
      <c r="R16" s="132"/>
      <c r="S16" s="132"/>
      <c r="T16" s="132"/>
      <c r="U16" s="132"/>
      <c r="V16" s="58"/>
      <c r="W16" s="58"/>
      <c r="X16" s="58"/>
      <c r="Y16" s="58"/>
      <c r="Z16" s="58"/>
      <c r="AA16" s="58"/>
      <c r="AB16" s="76"/>
    </row>
    <row r="17" spans="2:28" ht="25.5">
      <c r="B17" t="s">
        <v>175</v>
      </c>
      <c r="C17" s="12" t="s">
        <v>170</v>
      </c>
      <c r="D17" s="119"/>
      <c r="E17" s="6"/>
      <c r="F17" s="3"/>
      <c r="G17" s="119"/>
      <c r="H17" s="3"/>
      <c r="I17" s="252"/>
      <c r="K17" s="244"/>
      <c r="L17" s="3"/>
      <c r="M17" s="33"/>
      <c r="N17" s="252"/>
      <c r="O17" s="3"/>
      <c r="P17" s="132"/>
      <c r="Q17" s="132"/>
      <c r="R17" s="132"/>
      <c r="S17" s="132"/>
      <c r="T17" s="132"/>
      <c r="U17" s="132"/>
      <c r="V17" s="133">
        <f aca="true" t="shared" si="5" ref="V17:AA17">SUM(V18:V19)</f>
        <v>0</v>
      </c>
      <c r="W17" s="133">
        <f t="shared" si="5"/>
        <v>0</v>
      </c>
      <c r="X17" s="133">
        <f t="shared" si="5"/>
        <v>0</v>
      </c>
      <c r="Y17" s="133">
        <f t="shared" si="5"/>
        <v>0</v>
      </c>
      <c r="Z17" s="133">
        <f t="shared" si="5"/>
        <v>0</v>
      </c>
      <c r="AA17" s="133">
        <f t="shared" si="5"/>
        <v>0</v>
      </c>
      <c r="AB17" s="119"/>
    </row>
    <row r="18" spans="3:28" ht="12.75">
      <c r="C18" s="12" t="s">
        <v>168</v>
      </c>
      <c r="D18" s="76"/>
      <c r="E18" s="35" t="s">
        <v>43</v>
      </c>
      <c r="F18" s="3" t="s">
        <v>43</v>
      </c>
      <c r="G18" s="76" t="s">
        <v>43</v>
      </c>
      <c r="H18" s="3" t="s">
        <v>43</v>
      </c>
      <c r="I18" s="250"/>
      <c r="K18" s="236"/>
      <c r="L18" s="3" t="s">
        <v>36</v>
      </c>
      <c r="M18" s="33"/>
      <c r="N18" s="250"/>
      <c r="O18" s="3" t="s">
        <v>36</v>
      </c>
      <c r="P18" s="132"/>
      <c r="Q18" s="132"/>
      <c r="R18" s="132"/>
      <c r="S18" s="132"/>
      <c r="T18" s="132"/>
      <c r="U18" s="132"/>
      <c r="V18" s="116">
        <f aca="true" t="shared" si="6" ref="V18:AA19">$N18*P18</f>
        <v>0</v>
      </c>
      <c r="W18" s="116">
        <f t="shared" si="6"/>
        <v>0</v>
      </c>
      <c r="X18" s="116">
        <f t="shared" si="6"/>
        <v>0</v>
      </c>
      <c r="Y18" s="116">
        <f t="shared" si="6"/>
        <v>0</v>
      </c>
      <c r="Z18" s="116">
        <f t="shared" si="6"/>
        <v>0</v>
      </c>
      <c r="AA18" s="116">
        <f t="shared" si="6"/>
        <v>0</v>
      </c>
      <c r="AB18" s="76"/>
    </row>
    <row r="19" spans="3:28" ht="38.25">
      <c r="C19" s="12" t="s">
        <v>171</v>
      </c>
      <c r="D19" s="76"/>
      <c r="E19" s="632" t="s">
        <v>936</v>
      </c>
      <c r="F19" s="3" t="s">
        <v>354</v>
      </c>
      <c r="G19" s="76">
        <v>30</v>
      </c>
      <c r="H19" s="36" t="s">
        <v>456</v>
      </c>
      <c r="I19" s="250">
        <f>'Step3-Metals-RawMat'!C8</f>
        <v>0</v>
      </c>
      <c r="J19" t="s">
        <v>361</v>
      </c>
      <c r="K19" s="236">
        <f>G19*I19/1000</f>
        <v>0</v>
      </c>
      <c r="L19" s="3" t="s">
        <v>36</v>
      </c>
      <c r="M19" s="33" t="s">
        <v>935</v>
      </c>
      <c r="N19" s="330">
        <f>K19</f>
        <v>0</v>
      </c>
      <c r="O19" s="3" t="s">
        <v>36</v>
      </c>
      <c r="P19" s="132">
        <v>0.1</v>
      </c>
      <c r="Q19" s="132">
        <v>0.02</v>
      </c>
      <c r="R19" s="132"/>
      <c r="S19" s="132">
        <v>0.42</v>
      </c>
      <c r="T19" s="132"/>
      <c r="U19" s="132">
        <v>0.46</v>
      </c>
      <c r="V19" s="116">
        <f t="shared" si="6"/>
        <v>0</v>
      </c>
      <c r="W19" s="116">
        <f t="shared" si="6"/>
        <v>0</v>
      </c>
      <c r="X19" s="116">
        <f t="shared" si="6"/>
        <v>0</v>
      </c>
      <c r="Y19" s="116">
        <f t="shared" si="6"/>
        <v>0</v>
      </c>
      <c r="Z19" s="116">
        <f t="shared" si="6"/>
        <v>0</v>
      </c>
      <c r="AA19" s="116">
        <f t="shared" si="6"/>
        <v>0</v>
      </c>
      <c r="AB19" s="76"/>
    </row>
    <row r="20" spans="1:28" s="55" customFormat="1" ht="12.75">
      <c r="A20" s="139"/>
      <c r="B20" s="104"/>
      <c r="C20" s="136"/>
      <c r="D20" s="111"/>
      <c r="E20" s="106"/>
      <c r="F20" s="104"/>
      <c r="G20" s="76"/>
      <c r="H20" s="104"/>
      <c r="I20" s="250"/>
      <c r="K20" s="236"/>
      <c r="L20" s="104"/>
      <c r="M20" s="110"/>
      <c r="N20" s="250"/>
      <c r="O20" s="104"/>
      <c r="P20" s="132"/>
      <c r="Q20" s="132"/>
      <c r="R20" s="132"/>
      <c r="S20" s="132"/>
      <c r="T20" s="132"/>
      <c r="U20" s="132"/>
      <c r="V20" s="116"/>
      <c r="W20" s="116"/>
      <c r="X20" s="116"/>
      <c r="Y20" s="116"/>
      <c r="Z20" s="116"/>
      <c r="AA20" s="116"/>
      <c r="AB20" s="76"/>
    </row>
    <row r="21" spans="2:28" ht="12.75">
      <c r="B21" t="s">
        <v>176</v>
      </c>
      <c r="C21" s="12" t="s">
        <v>172</v>
      </c>
      <c r="D21" s="119"/>
      <c r="E21" s="6"/>
      <c r="F21" s="3"/>
      <c r="G21" s="119"/>
      <c r="H21" s="3"/>
      <c r="I21" s="252"/>
      <c r="K21" s="244"/>
      <c r="L21" s="3"/>
      <c r="M21" s="33"/>
      <c r="N21" s="252"/>
      <c r="O21" s="3"/>
      <c r="P21" s="132"/>
      <c r="Q21" s="132"/>
      <c r="R21" s="132"/>
      <c r="S21" s="132"/>
      <c r="T21" s="132"/>
      <c r="U21" s="132"/>
      <c r="V21" s="133">
        <f aca="true" t="shared" si="7" ref="V21:AA21">SUM(V22:V23)</f>
        <v>0</v>
      </c>
      <c r="W21" s="133">
        <f t="shared" si="7"/>
        <v>0</v>
      </c>
      <c r="X21" s="133">
        <f t="shared" si="7"/>
        <v>0</v>
      </c>
      <c r="Y21" s="133">
        <f t="shared" si="7"/>
        <v>0</v>
      </c>
      <c r="Z21" s="133">
        <f t="shared" si="7"/>
        <v>0</v>
      </c>
      <c r="AA21" s="133">
        <f t="shared" si="7"/>
        <v>0</v>
      </c>
      <c r="AB21" s="119"/>
    </row>
    <row r="22" spans="3:28" ht="12.75">
      <c r="C22" s="12" t="s">
        <v>168</v>
      </c>
      <c r="D22" s="76"/>
      <c r="E22" s="35" t="s">
        <v>43</v>
      </c>
      <c r="F22" s="3" t="s">
        <v>43</v>
      </c>
      <c r="G22" s="76" t="s">
        <v>43</v>
      </c>
      <c r="H22" s="3" t="s">
        <v>43</v>
      </c>
      <c r="I22" s="250"/>
      <c r="K22" s="236"/>
      <c r="L22" s="3" t="s">
        <v>36</v>
      </c>
      <c r="M22" s="33"/>
      <c r="N22" s="250"/>
      <c r="O22" s="3" t="s">
        <v>36</v>
      </c>
      <c r="P22" s="132"/>
      <c r="Q22" s="132"/>
      <c r="R22" s="132"/>
      <c r="S22" s="132"/>
      <c r="T22" s="132"/>
      <c r="U22" s="132"/>
      <c r="V22" s="116">
        <f>$N22*P22</f>
        <v>0</v>
      </c>
      <c r="W22" s="116">
        <f aca="true" t="shared" si="8" ref="V22:AA23">$N22*Q22</f>
        <v>0</v>
      </c>
      <c r="X22" s="116">
        <f t="shared" si="8"/>
        <v>0</v>
      </c>
      <c r="Y22" s="116">
        <f t="shared" si="8"/>
        <v>0</v>
      </c>
      <c r="Z22" s="116">
        <f t="shared" si="8"/>
        <v>0</v>
      </c>
      <c r="AA22" s="116">
        <f t="shared" si="8"/>
        <v>0</v>
      </c>
      <c r="AB22" s="76"/>
    </row>
    <row r="23" spans="3:28" ht="38.25">
      <c r="C23" s="12" t="s">
        <v>173</v>
      </c>
      <c r="D23" s="76"/>
      <c r="E23" s="629" t="s">
        <v>937</v>
      </c>
      <c r="F23" s="3" t="s">
        <v>354</v>
      </c>
      <c r="G23" s="76">
        <v>30</v>
      </c>
      <c r="H23" s="36" t="s">
        <v>456</v>
      </c>
      <c r="I23" s="250">
        <f>'Step3-Metals-RawMat'!C9</f>
        <v>0</v>
      </c>
      <c r="J23" t="s">
        <v>361</v>
      </c>
      <c r="K23" s="236">
        <f>G23*I23/1000</f>
        <v>0</v>
      </c>
      <c r="L23" s="3" t="s">
        <v>36</v>
      </c>
      <c r="M23" s="33" t="s">
        <v>935</v>
      </c>
      <c r="N23" s="330">
        <f>K23</f>
        <v>0</v>
      </c>
      <c r="O23" s="3" t="s">
        <v>36</v>
      </c>
      <c r="P23" s="132">
        <v>0.1</v>
      </c>
      <c r="Q23" s="132">
        <v>0.02</v>
      </c>
      <c r="R23" s="132"/>
      <c r="S23" s="132">
        <v>0.42</v>
      </c>
      <c r="T23" s="132"/>
      <c r="U23" s="132">
        <v>0.46</v>
      </c>
      <c r="V23" s="116">
        <f t="shared" si="8"/>
        <v>0</v>
      </c>
      <c r="W23" s="116">
        <f t="shared" si="8"/>
        <v>0</v>
      </c>
      <c r="X23" s="116">
        <f t="shared" si="8"/>
        <v>0</v>
      </c>
      <c r="Y23" s="116">
        <f t="shared" si="8"/>
        <v>0</v>
      </c>
      <c r="Z23" s="116">
        <f t="shared" si="8"/>
        <v>0</v>
      </c>
      <c r="AA23" s="116">
        <f t="shared" si="8"/>
        <v>0</v>
      </c>
      <c r="AB23" s="76"/>
    </row>
    <row r="24" spans="1:28" s="55" customFormat="1" ht="12.75">
      <c r="A24" s="104"/>
      <c r="B24" s="104"/>
      <c r="C24" s="105"/>
      <c r="D24" s="76"/>
      <c r="E24" s="106"/>
      <c r="F24" s="104"/>
      <c r="G24" s="76"/>
      <c r="H24" s="104"/>
      <c r="I24" s="250"/>
      <c r="K24" s="236"/>
      <c r="L24" s="104"/>
      <c r="M24" s="138"/>
      <c r="N24" s="250"/>
      <c r="O24" s="104"/>
      <c r="P24" s="132"/>
      <c r="Q24" s="132"/>
      <c r="R24" s="132"/>
      <c r="S24" s="132"/>
      <c r="T24" s="132"/>
      <c r="U24" s="132"/>
      <c r="V24" s="116"/>
      <c r="W24" s="116"/>
      <c r="X24" s="116"/>
      <c r="Y24" s="116"/>
      <c r="Z24" s="116"/>
      <c r="AA24" s="116"/>
      <c r="AB24" s="76"/>
    </row>
    <row r="25" spans="2:28" ht="38.25">
      <c r="B25" t="s">
        <v>177</v>
      </c>
      <c r="C25" s="12" t="s">
        <v>328</v>
      </c>
      <c r="D25" s="119"/>
      <c r="E25" s="631" t="s">
        <v>938</v>
      </c>
      <c r="F25" s="36" t="s">
        <v>535</v>
      </c>
      <c r="G25" s="345">
        <v>15</v>
      </c>
      <c r="H25" s="36" t="s">
        <v>550</v>
      </c>
      <c r="I25" s="467">
        <f>'Step3-Metals-RawMat'!C10</f>
        <v>0</v>
      </c>
      <c r="J25" s="53" t="s">
        <v>549</v>
      </c>
      <c r="K25" s="236">
        <f>G25*I25/1000</f>
        <v>0</v>
      </c>
      <c r="L25" s="3" t="s">
        <v>36</v>
      </c>
      <c r="M25" s="33"/>
      <c r="N25" s="253">
        <f>K25</f>
        <v>0</v>
      </c>
      <c r="O25" s="3" t="s">
        <v>36</v>
      </c>
      <c r="P25" s="132">
        <v>0.04</v>
      </c>
      <c r="Q25" s="132">
        <v>0.02</v>
      </c>
      <c r="R25" s="132">
        <v>0.9</v>
      </c>
      <c r="S25" s="132">
        <v>0.04</v>
      </c>
      <c r="T25" s="132"/>
      <c r="U25" s="132"/>
      <c r="V25" s="133">
        <f aca="true" t="shared" si="9" ref="V25:AA25">$N25*P25</f>
        <v>0</v>
      </c>
      <c r="W25" s="133">
        <f t="shared" si="9"/>
        <v>0</v>
      </c>
      <c r="X25" s="133">
        <f t="shared" si="9"/>
        <v>0</v>
      </c>
      <c r="Y25" s="133">
        <f t="shared" si="9"/>
        <v>0</v>
      </c>
      <c r="Z25" s="133">
        <f t="shared" si="9"/>
        <v>0</v>
      </c>
      <c r="AA25" s="133">
        <f t="shared" si="9"/>
        <v>0</v>
      </c>
      <c r="AB25" s="119"/>
    </row>
    <row r="26" spans="1:28" s="55" customFormat="1" ht="12.75">
      <c r="A26" s="104"/>
      <c r="B26" s="104"/>
      <c r="C26" s="136"/>
      <c r="D26" s="111"/>
      <c r="E26" s="106"/>
      <c r="F26" s="104"/>
      <c r="G26" s="76"/>
      <c r="H26" s="104"/>
      <c r="I26" s="250"/>
      <c r="K26" s="236"/>
      <c r="L26" s="104"/>
      <c r="M26" s="107"/>
      <c r="N26" s="250"/>
      <c r="O26" s="104"/>
      <c r="P26" s="132"/>
      <c r="Q26" s="132"/>
      <c r="R26" s="132"/>
      <c r="S26" s="132"/>
      <c r="T26" s="132"/>
      <c r="U26" s="132"/>
      <c r="V26" s="116"/>
      <c r="W26" s="116"/>
      <c r="X26" s="116"/>
      <c r="Y26" s="116"/>
      <c r="Z26" s="116"/>
      <c r="AA26" s="116"/>
      <c r="AB26" s="76"/>
    </row>
    <row r="27" spans="2:28" ht="25.5">
      <c r="B27" t="s">
        <v>182</v>
      </c>
      <c r="C27" s="12" t="s">
        <v>180</v>
      </c>
      <c r="D27" s="119"/>
      <c r="E27" s="6"/>
      <c r="F27" s="3"/>
      <c r="G27" s="119"/>
      <c r="H27" s="3"/>
      <c r="I27" s="252"/>
      <c r="K27" s="244"/>
      <c r="L27" s="3"/>
      <c r="M27" s="33"/>
      <c r="N27" s="252"/>
      <c r="O27" s="3"/>
      <c r="P27" s="132"/>
      <c r="Q27" s="132"/>
      <c r="R27" s="132"/>
      <c r="S27" s="132"/>
      <c r="T27" s="132"/>
      <c r="U27" s="132"/>
      <c r="V27" s="133">
        <f aca="true" t="shared" si="10" ref="V27:AA27">SUM(V28:V29)</f>
        <v>0</v>
      </c>
      <c r="W27" s="133">
        <f t="shared" si="10"/>
        <v>0</v>
      </c>
      <c r="X27" s="133">
        <f t="shared" si="10"/>
        <v>0</v>
      </c>
      <c r="Y27" s="133">
        <f t="shared" si="10"/>
        <v>0</v>
      </c>
      <c r="Z27" s="133">
        <f t="shared" si="10"/>
        <v>0</v>
      </c>
      <c r="AA27" s="133">
        <f t="shared" si="10"/>
        <v>0</v>
      </c>
      <c r="AB27" s="119"/>
    </row>
    <row r="28" spans="3:28" ht="12.75">
      <c r="C28" s="12" t="s">
        <v>495</v>
      </c>
      <c r="D28" s="76"/>
      <c r="E28" s="8" t="s">
        <v>492</v>
      </c>
      <c r="F28" s="36" t="s">
        <v>494</v>
      </c>
      <c r="G28" s="76">
        <v>0.5</v>
      </c>
      <c r="H28" s="36" t="s">
        <v>494</v>
      </c>
      <c r="I28" s="250">
        <f>'Step3-Metals-RawMat'!C11</f>
        <v>0</v>
      </c>
      <c r="J28" s="8" t="s">
        <v>493</v>
      </c>
      <c r="K28" s="236">
        <f>G28*I28/1000</f>
        <v>0</v>
      </c>
      <c r="L28" s="3" t="s">
        <v>36</v>
      </c>
      <c r="M28" s="33"/>
      <c r="N28" s="250">
        <f>K28</f>
        <v>0</v>
      </c>
      <c r="O28" s="3" t="s">
        <v>36</v>
      </c>
      <c r="P28" s="132">
        <v>0.15</v>
      </c>
      <c r="Q28" s="132">
        <v>0.1</v>
      </c>
      <c r="R28" s="132"/>
      <c r="S28" s="132"/>
      <c r="T28" s="132">
        <v>0.65</v>
      </c>
      <c r="U28" s="132">
        <v>0.1</v>
      </c>
      <c r="V28" s="116">
        <f aca="true" t="shared" si="11" ref="V28:AA29">$N28*P28</f>
        <v>0</v>
      </c>
      <c r="W28" s="116">
        <f t="shared" si="11"/>
        <v>0</v>
      </c>
      <c r="X28" s="116">
        <f t="shared" si="11"/>
        <v>0</v>
      </c>
      <c r="Y28" s="116">
        <f t="shared" si="11"/>
        <v>0</v>
      </c>
      <c r="Z28" s="116">
        <f t="shared" si="11"/>
        <v>0</v>
      </c>
      <c r="AA28" s="116">
        <f t="shared" si="11"/>
        <v>0</v>
      </c>
      <c r="AB28" s="76"/>
    </row>
    <row r="29" spans="3:28" ht="12.75">
      <c r="C29" s="12" t="s">
        <v>181</v>
      </c>
      <c r="D29" s="76"/>
      <c r="E29" t="s">
        <v>43</v>
      </c>
      <c r="F29" s="3" t="s">
        <v>43</v>
      </c>
      <c r="G29" s="76" t="s">
        <v>43</v>
      </c>
      <c r="H29" s="3" t="s">
        <v>43</v>
      </c>
      <c r="I29" s="250"/>
      <c r="J29" t="s">
        <v>43</v>
      </c>
      <c r="K29" s="236"/>
      <c r="L29" s="3" t="s">
        <v>36</v>
      </c>
      <c r="M29" s="33"/>
      <c r="N29" s="250"/>
      <c r="O29" s="3" t="s">
        <v>36</v>
      </c>
      <c r="P29" s="132"/>
      <c r="Q29" s="132"/>
      <c r="R29" s="132"/>
      <c r="S29" s="132"/>
      <c r="T29" s="132"/>
      <c r="U29" s="132"/>
      <c r="V29" s="116">
        <f t="shared" si="11"/>
        <v>0</v>
      </c>
      <c r="W29" s="116">
        <f t="shared" si="11"/>
        <v>0</v>
      </c>
      <c r="X29" s="116">
        <f t="shared" si="11"/>
        <v>0</v>
      </c>
      <c r="Y29" s="116">
        <f t="shared" si="11"/>
        <v>0</v>
      </c>
      <c r="Z29" s="116">
        <f t="shared" si="11"/>
        <v>0</v>
      </c>
      <c r="AA29" s="116">
        <f t="shared" si="11"/>
        <v>0</v>
      </c>
      <c r="AB29" s="76"/>
    </row>
    <row r="30" spans="1:28" s="55" customFormat="1" ht="12.75">
      <c r="A30" s="104"/>
      <c r="B30" s="104"/>
      <c r="C30" s="105"/>
      <c r="D30" s="76"/>
      <c r="E30" s="106"/>
      <c r="F30" s="104"/>
      <c r="G30" s="76"/>
      <c r="H30" s="104"/>
      <c r="I30" s="250"/>
      <c r="K30" s="239"/>
      <c r="L30" s="104"/>
      <c r="M30" s="138"/>
      <c r="N30" s="250"/>
      <c r="O30" s="104"/>
      <c r="P30" s="132"/>
      <c r="Q30" s="132"/>
      <c r="R30" s="132"/>
      <c r="S30" s="132"/>
      <c r="T30" s="132"/>
      <c r="U30" s="132"/>
      <c r="V30" s="116"/>
      <c r="W30" s="116"/>
      <c r="X30" s="116"/>
      <c r="Y30" s="116"/>
      <c r="Z30" s="116"/>
      <c r="AA30" s="116"/>
      <c r="AB30" s="76"/>
    </row>
    <row r="31" spans="2:28" ht="25.5">
      <c r="B31" t="s">
        <v>183</v>
      </c>
      <c r="C31" s="12" t="s">
        <v>186</v>
      </c>
      <c r="D31" s="119"/>
      <c r="E31" t="s">
        <v>43</v>
      </c>
      <c r="F31" s="3" t="s">
        <v>43</v>
      </c>
      <c r="G31" s="119" t="s">
        <v>43</v>
      </c>
      <c r="H31" s="3" t="s">
        <v>43</v>
      </c>
      <c r="I31" s="252"/>
      <c r="J31" t="s">
        <v>43</v>
      </c>
      <c r="K31" s="245" t="s">
        <v>43</v>
      </c>
      <c r="L31" s="3" t="s">
        <v>36</v>
      </c>
      <c r="M31" s="33"/>
      <c r="N31" s="252"/>
      <c r="O31" s="3" t="s">
        <v>36</v>
      </c>
      <c r="P31" s="132">
        <v>1</v>
      </c>
      <c r="Q31" s="132"/>
      <c r="R31" s="132"/>
      <c r="S31" s="132"/>
      <c r="T31" s="132"/>
      <c r="U31" s="132"/>
      <c r="V31" s="133">
        <f aca="true" t="shared" si="12" ref="V31:AA31">$N31*P31</f>
        <v>0</v>
      </c>
      <c r="W31" s="133">
        <f t="shared" si="12"/>
        <v>0</v>
      </c>
      <c r="X31" s="133">
        <f t="shared" si="12"/>
        <v>0</v>
      </c>
      <c r="Y31" s="133">
        <f t="shared" si="12"/>
        <v>0</v>
      </c>
      <c r="Z31" s="133">
        <f t="shared" si="12"/>
        <v>0</v>
      </c>
      <c r="AA31" s="133">
        <f t="shared" si="12"/>
        <v>0</v>
      </c>
      <c r="AB31" s="119"/>
    </row>
    <row r="32" spans="1:28" s="55" customFormat="1" ht="12.75">
      <c r="A32" s="104"/>
      <c r="B32" s="104"/>
      <c r="C32" s="136"/>
      <c r="D32" s="112"/>
      <c r="E32" s="106"/>
      <c r="F32" s="104"/>
      <c r="G32" s="76"/>
      <c r="H32" s="104"/>
      <c r="I32" s="250"/>
      <c r="K32" s="239"/>
      <c r="L32" s="104"/>
      <c r="M32" s="107"/>
      <c r="N32" s="250"/>
      <c r="O32" s="104"/>
      <c r="P32" s="132"/>
      <c r="Q32" s="132"/>
      <c r="R32" s="132"/>
      <c r="S32" s="132"/>
      <c r="T32" s="132"/>
      <c r="U32" s="132"/>
      <c r="V32" s="116"/>
      <c r="W32" s="116"/>
      <c r="X32" s="116"/>
      <c r="Y32" s="116"/>
      <c r="Z32" s="116"/>
      <c r="AA32" s="116"/>
      <c r="AB32" s="76"/>
    </row>
    <row r="33" spans="2:28" ht="12.75">
      <c r="B33" t="s">
        <v>184</v>
      </c>
      <c r="C33" s="12" t="s">
        <v>185</v>
      </c>
      <c r="D33" s="119"/>
      <c r="E33" t="s">
        <v>187</v>
      </c>
      <c r="F33" s="3" t="s">
        <v>355</v>
      </c>
      <c r="G33" s="119">
        <v>0.05</v>
      </c>
      <c r="H33" s="3" t="s">
        <v>355</v>
      </c>
      <c r="I33" s="252">
        <f>'Step3-Metals-RawMat'!C12</f>
        <v>0</v>
      </c>
      <c r="J33" t="s">
        <v>339</v>
      </c>
      <c r="K33" s="245">
        <f>G33*I33/1000</f>
        <v>0</v>
      </c>
      <c r="L33" s="3" t="s">
        <v>36</v>
      </c>
      <c r="M33" s="33"/>
      <c r="N33" s="252">
        <f>K33</f>
        <v>0</v>
      </c>
      <c r="O33" s="3" t="s">
        <v>36</v>
      </c>
      <c r="P33" s="132">
        <v>0.95</v>
      </c>
      <c r="Q33" s="132"/>
      <c r="R33" s="132"/>
      <c r="S33" s="132"/>
      <c r="T33" s="132"/>
      <c r="U33" s="132">
        <v>0.05</v>
      </c>
      <c r="V33" s="133">
        <f aca="true" t="shared" si="13" ref="V33:AA33">$N33*P33</f>
        <v>0</v>
      </c>
      <c r="W33" s="133">
        <f t="shared" si="13"/>
        <v>0</v>
      </c>
      <c r="X33" s="133">
        <f t="shared" si="13"/>
        <v>0</v>
      </c>
      <c r="Y33" s="133">
        <f t="shared" si="13"/>
        <v>0</v>
      </c>
      <c r="Z33" s="133">
        <f t="shared" si="13"/>
        <v>0</v>
      </c>
      <c r="AA33" s="133">
        <f t="shared" si="13"/>
        <v>0</v>
      </c>
      <c r="AB33" s="119"/>
    </row>
    <row r="34" spans="1:28" s="55" customFormat="1" ht="12.75">
      <c r="A34" s="104"/>
      <c r="B34" s="104"/>
      <c r="D34" s="76"/>
      <c r="E34" s="106"/>
      <c r="F34" s="104"/>
      <c r="G34" s="76"/>
      <c r="H34" s="104"/>
      <c r="I34" s="250"/>
      <c r="K34" s="239"/>
      <c r="L34" s="104"/>
      <c r="M34" s="138"/>
      <c r="N34" s="250"/>
      <c r="O34" s="104"/>
      <c r="P34" s="130"/>
      <c r="Q34" s="130"/>
      <c r="R34" s="130"/>
      <c r="S34" s="130"/>
      <c r="T34" s="130"/>
      <c r="U34" s="127"/>
      <c r="V34" s="116"/>
      <c r="W34" s="116"/>
      <c r="X34" s="116"/>
      <c r="Y34" s="116"/>
      <c r="Z34" s="116"/>
      <c r="AA34" s="116"/>
      <c r="AB34" s="76"/>
    </row>
    <row r="35" spans="13:15" ht="12.75">
      <c r="M35" s="14"/>
      <c r="N35" s="241"/>
      <c r="O35" s="3"/>
    </row>
    <row r="36" spans="13:15" ht="12.75">
      <c r="M36" s="14"/>
      <c r="N36" s="251"/>
      <c r="O36" s="3"/>
    </row>
    <row r="37" spans="3:4" ht="12.75">
      <c r="C37" s="5" t="s">
        <v>56</v>
      </c>
      <c r="D37" s="8" t="s">
        <v>178</v>
      </c>
    </row>
    <row r="38" ht="12.75">
      <c r="D38" s="6" t="s">
        <v>179</v>
      </c>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3"/>
  <headerFooter>
    <oddFooter>&amp;L&amp;A
Printed &amp;D</oddFooter>
  </headerFooter>
  <legacyDrawing r:id="rId2"/>
</worksheet>
</file>

<file path=xl/worksheets/sheet6.xml><?xml version="1.0" encoding="utf-8"?>
<worksheet xmlns="http://schemas.openxmlformats.org/spreadsheetml/2006/main" xmlns:r="http://schemas.openxmlformats.org/officeDocument/2006/relationships">
  <dimension ref="A1:AB27"/>
  <sheetViews>
    <sheetView zoomScalePageLayoutView="0" workbookViewId="0" topLeftCell="A1">
      <selection activeCell="A8" sqref="A8"/>
    </sheetView>
  </sheetViews>
  <sheetFormatPr defaultColWidth="9.140625" defaultRowHeight="12.75"/>
  <cols>
    <col min="1" max="1" width="3.00390625" style="0" customWidth="1"/>
    <col min="2" max="2" width="6.140625" style="0" customWidth="1"/>
    <col min="3" max="3" width="28.28125" style="0" customWidth="1"/>
    <col min="4" max="4" width="12.57421875" style="0" customWidth="1"/>
    <col min="5" max="5" width="14.421875" style="0" customWidth="1"/>
    <col min="6" max="6" width="27.421875" style="0" customWidth="1"/>
    <col min="7" max="7" width="10.28125" style="0" customWidth="1"/>
    <col min="8" max="8" width="24.8515625" style="0" customWidth="1"/>
    <col min="9" max="9" width="12.57421875" style="242" customWidth="1"/>
    <col min="10" max="10" width="15.28125" style="0" customWidth="1"/>
    <col min="11" max="11" width="12.00390625" style="0" customWidth="1"/>
    <col min="12" max="12" width="11.57421875" style="0" customWidth="1"/>
    <col min="13" max="13" width="17.28125" style="13" customWidth="1"/>
    <col min="14" max="14" width="9.140625" style="242" customWidth="1"/>
    <col min="16" max="16" width="4.57421875" style="0" customWidth="1"/>
    <col min="17" max="17" width="5.28125" style="0" customWidth="1"/>
    <col min="18" max="18" width="5.00390625" style="0" customWidth="1"/>
    <col min="19" max="19" width="8.421875" style="0" customWidth="1"/>
    <col min="21" max="21" width="19.14062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34.00390625" style="0" customWidth="1"/>
  </cols>
  <sheetData>
    <row r="1" spans="1:14" ht="18">
      <c r="A1" s="1" t="s">
        <v>34</v>
      </c>
      <c r="I1" s="232"/>
      <c r="L1" s="48"/>
      <c r="M1" s="48"/>
      <c r="N1" s="232"/>
    </row>
    <row r="2" spans="1:14" ht="15">
      <c r="A2" s="54" t="s">
        <v>322</v>
      </c>
      <c r="I2" s="232"/>
      <c r="L2" s="48"/>
      <c r="M2" s="48"/>
      <c r="N2" s="232"/>
    </row>
    <row r="3" spans="3:28" ht="12.75">
      <c r="C3" s="3"/>
      <c r="D3" s="3"/>
      <c r="E3" s="3"/>
      <c r="F3" s="3"/>
      <c r="G3" s="3"/>
      <c r="H3" s="3"/>
      <c r="I3" s="233"/>
      <c r="J3" s="3"/>
      <c r="K3" s="3"/>
      <c r="L3" s="104"/>
      <c r="M3" s="104"/>
      <c r="N3" s="233"/>
      <c r="O3" s="3"/>
      <c r="P3" s="65" t="s">
        <v>55</v>
      </c>
      <c r="Q3" s="65"/>
      <c r="R3" s="65"/>
      <c r="S3" s="65"/>
      <c r="T3" s="65"/>
      <c r="U3" s="65"/>
      <c r="V3" s="10" t="s">
        <v>54</v>
      </c>
      <c r="W3" s="4"/>
      <c r="X3" s="4"/>
      <c r="Y3" s="4"/>
      <c r="Z3" s="4"/>
      <c r="AA3" s="4"/>
      <c r="AB3" s="2"/>
    </row>
    <row r="4" spans="1:28" s="144" customFormat="1" ht="51">
      <c r="A4" s="144" t="s">
        <v>52</v>
      </c>
      <c r="B4" s="144" t="s">
        <v>50</v>
      </c>
      <c r="C4" s="134" t="s">
        <v>59</v>
      </c>
      <c r="D4" s="112" t="s">
        <v>159</v>
      </c>
      <c r="E4" s="134" t="s">
        <v>49</v>
      </c>
      <c r="F4" s="143" t="s">
        <v>35</v>
      </c>
      <c r="G4" s="112" t="s">
        <v>37</v>
      </c>
      <c r="H4" s="143" t="s">
        <v>35</v>
      </c>
      <c r="I4" s="247" t="s">
        <v>51</v>
      </c>
      <c r="J4" s="144" t="s">
        <v>35</v>
      </c>
      <c r="K4" s="84" t="s">
        <v>61</v>
      </c>
      <c r="L4" s="139" t="s">
        <v>35</v>
      </c>
      <c r="M4" s="157" t="s">
        <v>289</v>
      </c>
      <c r="N4" s="247" t="s">
        <v>94</v>
      </c>
      <c r="O4" s="143" t="s">
        <v>35</v>
      </c>
      <c r="P4" s="147" t="s">
        <v>38</v>
      </c>
      <c r="Q4" s="147" t="s">
        <v>39</v>
      </c>
      <c r="R4" s="147" t="s">
        <v>40</v>
      </c>
      <c r="S4" s="147" t="s">
        <v>41</v>
      </c>
      <c r="T4" s="148" t="s">
        <v>42</v>
      </c>
      <c r="U4" s="148" t="s">
        <v>237</v>
      </c>
      <c r="V4" s="56" t="s">
        <v>38</v>
      </c>
      <c r="W4" s="56" t="s">
        <v>39</v>
      </c>
      <c r="X4" s="56" t="s">
        <v>40</v>
      </c>
      <c r="Y4" s="56" t="s">
        <v>41</v>
      </c>
      <c r="Z4" s="57" t="s">
        <v>42</v>
      </c>
      <c r="AA4" s="57" t="s">
        <v>237</v>
      </c>
      <c r="AB4" s="111" t="s">
        <v>89</v>
      </c>
    </row>
    <row r="5" spans="1:28" ht="51">
      <c r="A5" t="s">
        <v>194</v>
      </c>
      <c r="C5" s="12" t="s">
        <v>195</v>
      </c>
      <c r="D5" s="111"/>
      <c r="F5" s="3"/>
      <c r="G5" s="76"/>
      <c r="H5" s="3"/>
      <c r="I5" s="249"/>
      <c r="K5" s="113"/>
      <c r="L5" s="3"/>
      <c r="M5" s="14"/>
      <c r="N5" s="249"/>
      <c r="O5" s="3"/>
      <c r="P5" s="127"/>
      <c r="Q5" s="127"/>
      <c r="R5" s="127"/>
      <c r="S5" s="127"/>
      <c r="T5" s="127"/>
      <c r="U5" s="127"/>
      <c r="V5" s="58"/>
      <c r="W5" s="58"/>
      <c r="X5" s="58"/>
      <c r="Y5" s="58"/>
      <c r="Z5" s="58"/>
      <c r="AA5" s="58"/>
      <c r="AB5" s="76"/>
    </row>
    <row r="6" spans="2:28" ht="12.75">
      <c r="B6" t="s">
        <v>196</v>
      </c>
      <c r="C6" s="26" t="s">
        <v>395</v>
      </c>
      <c r="D6" s="111"/>
      <c r="E6" s="3"/>
      <c r="F6" s="3"/>
      <c r="G6" s="343"/>
      <c r="H6" s="36"/>
      <c r="I6" s="339"/>
      <c r="J6" s="9"/>
      <c r="K6" s="347">
        <f>SUM(K7:K8)</f>
        <v>0</v>
      </c>
      <c r="L6" s="3" t="s">
        <v>36</v>
      </c>
      <c r="M6" s="348" t="s">
        <v>395</v>
      </c>
      <c r="N6" s="254"/>
      <c r="O6" s="3"/>
      <c r="P6" s="288"/>
      <c r="Q6" s="288"/>
      <c r="R6" s="288"/>
      <c r="S6" s="288"/>
      <c r="T6" s="288"/>
      <c r="U6" s="288"/>
      <c r="V6" s="114">
        <f aca="true" t="shared" si="0" ref="V6:AA6">SUM(V7:V10)</f>
        <v>0</v>
      </c>
      <c r="W6" s="114">
        <f t="shared" si="0"/>
        <v>0</v>
      </c>
      <c r="X6" s="114">
        <f t="shared" si="0"/>
        <v>0</v>
      </c>
      <c r="Y6" s="114">
        <f t="shared" si="0"/>
        <v>0</v>
      </c>
      <c r="Z6" s="114">
        <f t="shared" si="0"/>
        <v>0</v>
      </c>
      <c r="AA6" s="114">
        <f t="shared" si="0"/>
        <v>0</v>
      </c>
      <c r="AB6" s="76"/>
    </row>
    <row r="7" spans="3:28" ht="25.5">
      <c r="C7" s="26" t="s">
        <v>939</v>
      </c>
      <c r="D7" s="111"/>
      <c r="E7" s="36" t="s">
        <v>941</v>
      </c>
      <c r="F7" s="36" t="s">
        <v>454</v>
      </c>
      <c r="G7" s="343">
        <v>0.11</v>
      </c>
      <c r="H7" s="36" t="s">
        <v>454</v>
      </c>
      <c r="I7" s="250">
        <f>'Step3-Metals-RawMat'!C16*0.5</f>
        <v>0</v>
      </c>
      <c r="J7" s="9" t="s">
        <v>340</v>
      </c>
      <c r="K7" s="173">
        <f>I7*G7/1000</f>
        <v>0</v>
      </c>
      <c r="L7" s="3"/>
      <c r="M7" s="466"/>
      <c r="N7" s="254"/>
      <c r="O7" s="3"/>
      <c r="P7" s="288"/>
      <c r="Q7" s="288"/>
      <c r="R7" s="288"/>
      <c r="S7" s="288"/>
      <c r="T7" s="288"/>
      <c r="U7" s="288"/>
      <c r="V7" s="172">
        <f aca="true" t="shared" si="1" ref="V7:AA10">$N7*P7</f>
        <v>0</v>
      </c>
      <c r="W7" s="172">
        <f t="shared" si="1"/>
        <v>0</v>
      </c>
      <c r="X7" s="172">
        <f t="shared" si="1"/>
        <v>0</v>
      </c>
      <c r="Y7" s="172">
        <f t="shared" si="1"/>
        <v>0</v>
      </c>
      <c r="Z7" s="172">
        <f t="shared" si="1"/>
        <v>0</v>
      </c>
      <c r="AA7" s="172">
        <f t="shared" si="1"/>
        <v>0</v>
      </c>
      <c r="AB7" s="76"/>
    </row>
    <row r="8" spans="3:28" ht="63.75">
      <c r="C8" s="26" t="s">
        <v>940</v>
      </c>
      <c r="D8" s="111"/>
      <c r="E8" s="282" t="s">
        <v>942</v>
      </c>
      <c r="F8" s="36" t="s">
        <v>454</v>
      </c>
      <c r="G8" s="343">
        <v>0.15</v>
      </c>
      <c r="H8" s="36" t="s">
        <v>454</v>
      </c>
      <c r="I8" s="250">
        <f>'Step3-Metals-RawMat'!C16*0.5</f>
        <v>0</v>
      </c>
      <c r="J8" s="9" t="s">
        <v>340</v>
      </c>
      <c r="K8" s="173">
        <f>I8*G8/1000</f>
        <v>0</v>
      </c>
      <c r="L8" s="3"/>
      <c r="M8" s="466" t="s">
        <v>943</v>
      </c>
      <c r="N8" s="254">
        <f>K6</f>
        <v>0</v>
      </c>
      <c r="O8" s="3" t="s">
        <v>36</v>
      </c>
      <c r="P8" s="288">
        <v>0.75</v>
      </c>
      <c r="Q8" s="288"/>
      <c r="R8" s="288"/>
      <c r="S8" s="288">
        <v>0.25</v>
      </c>
      <c r="T8" s="288"/>
      <c r="U8" s="288"/>
      <c r="V8" s="172">
        <f t="shared" si="1"/>
        <v>0</v>
      </c>
      <c r="W8" s="172">
        <f t="shared" si="1"/>
        <v>0</v>
      </c>
      <c r="X8" s="172">
        <f t="shared" si="1"/>
        <v>0</v>
      </c>
      <c r="Y8" s="172">
        <f t="shared" si="1"/>
        <v>0</v>
      </c>
      <c r="Z8" s="172">
        <f t="shared" si="1"/>
        <v>0</v>
      </c>
      <c r="AA8" s="172">
        <f t="shared" si="1"/>
        <v>0</v>
      </c>
      <c r="AB8" s="76"/>
    </row>
    <row r="9" spans="3:28" ht="12.75">
      <c r="C9" s="26"/>
      <c r="D9" s="111"/>
      <c r="E9" s="3"/>
      <c r="F9" s="3"/>
      <c r="G9" s="343"/>
      <c r="H9" s="36"/>
      <c r="I9" s="250"/>
      <c r="J9" s="9"/>
      <c r="K9" s="173"/>
      <c r="L9" s="3"/>
      <c r="M9" s="33"/>
      <c r="N9" s="254"/>
      <c r="O9" s="3"/>
      <c r="P9" s="288"/>
      <c r="Q9" s="288"/>
      <c r="R9" s="288"/>
      <c r="S9" s="288"/>
      <c r="T9" s="288"/>
      <c r="U9" s="288"/>
      <c r="V9" s="172">
        <f t="shared" si="1"/>
        <v>0</v>
      </c>
      <c r="W9" s="172">
        <f t="shared" si="1"/>
        <v>0</v>
      </c>
      <c r="X9" s="172">
        <f t="shared" si="1"/>
        <v>0</v>
      </c>
      <c r="Y9" s="172">
        <f t="shared" si="1"/>
        <v>0</v>
      </c>
      <c r="Z9" s="172">
        <f t="shared" si="1"/>
        <v>0</v>
      </c>
      <c r="AA9" s="172">
        <f t="shared" si="1"/>
        <v>0</v>
      </c>
      <c r="AB9" s="76"/>
    </row>
    <row r="10" spans="3:28" s="55" customFormat="1" ht="12.75">
      <c r="C10" s="137"/>
      <c r="D10" s="76"/>
      <c r="E10" s="104"/>
      <c r="F10" s="104"/>
      <c r="G10" s="76"/>
      <c r="H10" s="104"/>
      <c r="I10" s="250"/>
      <c r="K10" s="173"/>
      <c r="L10" s="104"/>
      <c r="M10" s="33"/>
      <c r="N10" s="250"/>
      <c r="O10" s="3"/>
      <c r="P10" s="131"/>
      <c r="Q10" s="131"/>
      <c r="R10" s="131"/>
      <c r="S10" s="131"/>
      <c r="T10" s="131"/>
      <c r="U10" s="131"/>
      <c r="V10" s="172">
        <f t="shared" si="1"/>
        <v>0</v>
      </c>
      <c r="W10" s="172">
        <f t="shared" si="1"/>
        <v>0</v>
      </c>
      <c r="X10" s="172">
        <f t="shared" si="1"/>
        <v>0</v>
      </c>
      <c r="Y10" s="172">
        <f t="shared" si="1"/>
        <v>0</v>
      </c>
      <c r="Z10" s="172">
        <f t="shared" si="1"/>
        <v>0</v>
      </c>
      <c r="AA10" s="172">
        <f t="shared" si="1"/>
        <v>0</v>
      </c>
      <c r="AB10" s="76"/>
    </row>
    <row r="11" spans="2:28" ht="12.75">
      <c r="B11" s="3" t="s">
        <v>197</v>
      </c>
      <c r="C11" s="26" t="s">
        <v>198</v>
      </c>
      <c r="D11" s="111"/>
      <c r="E11" s="36" t="s">
        <v>529</v>
      </c>
      <c r="F11" s="282" t="s">
        <v>530</v>
      </c>
      <c r="G11" s="76">
        <v>0.03</v>
      </c>
      <c r="H11" s="36" t="s">
        <v>491</v>
      </c>
      <c r="I11" s="250">
        <f>'Step3-Metals-RawMat'!C17</f>
        <v>0</v>
      </c>
      <c r="J11" s="3" t="s">
        <v>452</v>
      </c>
      <c r="K11" s="237">
        <f>I11*G11/1000</f>
        <v>0</v>
      </c>
      <c r="L11" s="3" t="s">
        <v>36</v>
      </c>
      <c r="M11" s="466" t="s">
        <v>548</v>
      </c>
      <c r="N11" s="250">
        <f>K11</f>
        <v>0</v>
      </c>
      <c r="O11" s="3" t="s">
        <v>36</v>
      </c>
      <c r="P11" s="349">
        <v>1</v>
      </c>
      <c r="Q11" s="349"/>
      <c r="R11" s="349"/>
      <c r="S11" s="349"/>
      <c r="T11" s="349"/>
      <c r="U11" s="349"/>
      <c r="V11" s="114">
        <f aca="true" t="shared" si="2" ref="V11:AA11">$N11*P11+V12</f>
        <v>0</v>
      </c>
      <c r="W11" s="114">
        <f t="shared" si="2"/>
        <v>0</v>
      </c>
      <c r="X11" s="114">
        <f t="shared" si="2"/>
        <v>0</v>
      </c>
      <c r="Y11" s="114">
        <f t="shared" si="2"/>
        <v>0</v>
      </c>
      <c r="Z11" s="114">
        <f t="shared" si="2"/>
        <v>0</v>
      </c>
      <c r="AA11" s="114">
        <f t="shared" si="2"/>
        <v>0</v>
      </c>
      <c r="AB11" s="76"/>
    </row>
    <row r="12" spans="2:28" s="55" customFormat="1" ht="38.25">
      <c r="B12" s="104"/>
      <c r="C12" s="137"/>
      <c r="D12" s="76"/>
      <c r="E12" s="149"/>
      <c r="F12" s="104"/>
      <c r="G12" s="76"/>
      <c r="H12" s="104"/>
      <c r="I12" s="250"/>
      <c r="K12" s="115"/>
      <c r="L12" s="104"/>
      <c r="M12" s="33" t="s">
        <v>490</v>
      </c>
      <c r="N12" s="254">
        <f>K10</f>
        <v>0</v>
      </c>
      <c r="O12" s="3" t="s">
        <v>36</v>
      </c>
      <c r="P12" s="288">
        <v>0.9</v>
      </c>
      <c r="Q12" s="288"/>
      <c r="R12" s="288"/>
      <c r="S12" s="288"/>
      <c r="T12" s="288">
        <v>0.1</v>
      </c>
      <c r="U12" s="288"/>
      <c r="V12" s="172">
        <f aca="true" t="shared" si="3" ref="V12:AA12">$N12*P12</f>
        <v>0</v>
      </c>
      <c r="W12" s="172">
        <f t="shared" si="3"/>
        <v>0</v>
      </c>
      <c r="X12" s="172">
        <f t="shared" si="3"/>
        <v>0</v>
      </c>
      <c r="Y12" s="172">
        <f t="shared" si="3"/>
        <v>0</v>
      </c>
      <c r="Z12" s="172">
        <f t="shared" si="3"/>
        <v>0</v>
      </c>
      <c r="AA12" s="172">
        <f t="shared" si="3"/>
        <v>0</v>
      </c>
      <c r="AB12" s="76"/>
    </row>
    <row r="13" spans="2:28" ht="25.5">
      <c r="B13" t="s">
        <v>174</v>
      </c>
      <c r="C13" s="26" t="s">
        <v>199</v>
      </c>
      <c r="D13" s="76"/>
      <c r="E13" s="11"/>
      <c r="F13" s="3"/>
      <c r="G13" s="76"/>
      <c r="H13" s="3"/>
      <c r="I13" s="250"/>
      <c r="K13" s="114"/>
      <c r="L13" s="3" t="s">
        <v>36</v>
      </c>
      <c r="M13" s="33"/>
      <c r="N13" s="250"/>
      <c r="O13" s="3"/>
      <c r="P13" s="130"/>
      <c r="Q13" s="130"/>
      <c r="R13" s="130"/>
      <c r="S13" s="130"/>
      <c r="T13" s="130"/>
      <c r="U13" s="127"/>
      <c r="V13" s="114" t="e">
        <f aca="true" t="shared" si="4" ref="V13:AA13">SUM(V14:V15)</f>
        <v>#VALUE!</v>
      </c>
      <c r="W13" s="114" t="e">
        <f t="shared" si="4"/>
        <v>#VALUE!</v>
      </c>
      <c r="X13" s="114" t="e">
        <f t="shared" si="4"/>
        <v>#VALUE!</v>
      </c>
      <c r="Y13" s="114" t="e">
        <f t="shared" si="4"/>
        <v>#VALUE!</v>
      </c>
      <c r="Z13" s="114" t="e">
        <f t="shared" si="4"/>
        <v>#VALUE!</v>
      </c>
      <c r="AA13" s="114" t="e">
        <f t="shared" si="4"/>
        <v>#VALUE!</v>
      </c>
      <c r="AB13" s="76"/>
    </row>
    <row r="14" spans="3:28" ht="12.75">
      <c r="C14" s="26" t="s">
        <v>200</v>
      </c>
      <c r="D14" s="76"/>
      <c r="E14" s="29" t="s">
        <v>43</v>
      </c>
      <c r="F14" s="3"/>
      <c r="G14" s="76" t="s">
        <v>43</v>
      </c>
      <c r="H14" s="3" t="s">
        <v>43</v>
      </c>
      <c r="I14" s="250"/>
      <c r="K14" s="173"/>
      <c r="L14" s="3" t="s">
        <v>36</v>
      </c>
      <c r="M14" s="33"/>
      <c r="N14" s="249"/>
      <c r="O14" s="3" t="s">
        <v>36</v>
      </c>
      <c r="P14" s="127" t="s">
        <v>43</v>
      </c>
      <c r="Q14" s="127" t="s">
        <v>43</v>
      </c>
      <c r="R14" s="127" t="s">
        <v>43</v>
      </c>
      <c r="S14" s="127" t="s">
        <v>43</v>
      </c>
      <c r="T14" s="127" t="s">
        <v>43</v>
      </c>
      <c r="U14" s="127" t="s">
        <v>43</v>
      </c>
      <c r="V14" s="116" t="e">
        <f aca="true" t="shared" si="5" ref="V14:AA14">$N14*P14</f>
        <v>#VALUE!</v>
      </c>
      <c r="W14" s="116" t="e">
        <f t="shared" si="5"/>
        <v>#VALUE!</v>
      </c>
      <c r="X14" s="116" t="e">
        <f t="shared" si="5"/>
        <v>#VALUE!</v>
      </c>
      <c r="Y14" s="116" t="e">
        <f t="shared" si="5"/>
        <v>#VALUE!</v>
      </c>
      <c r="Z14" s="116" t="e">
        <f t="shared" si="5"/>
        <v>#VALUE!</v>
      </c>
      <c r="AA14" s="116" t="e">
        <f t="shared" si="5"/>
        <v>#VALUE!</v>
      </c>
      <c r="AB14" s="76"/>
    </row>
    <row r="15" spans="3:28" ht="12.75">
      <c r="C15" s="26" t="s">
        <v>201</v>
      </c>
      <c r="D15" s="76"/>
      <c r="E15" s="29" t="s">
        <v>43</v>
      </c>
      <c r="F15" s="3" t="s">
        <v>43</v>
      </c>
      <c r="G15" s="76" t="s">
        <v>43</v>
      </c>
      <c r="H15" s="3" t="s">
        <v>43</v>
      </c>
      <c r="I15" s="250"/>
      <c r="K15" s="173"/>
      <c r="L15" s="3" t="s">
        <v>36</v>
      </c>
      <c r="M15" s="33"/>
      <c r="N15" s="249"/>
      <c r="O15" s="3" t="s">
        <v>36</v>
      </c>
      <c r="P15" s="127" t="s">
        <v>43</v>
      </c>
      <c r="Q15" s="127" t="s">
        <v>43</v>
      </c>
      <c r="R15" s="127" t="s">
        <v>43</v>
      </c>
      <c r="S15" s="127" t="s">
        <v>43</v>
      </c>
      <c r="T15" s="127" t="s">
        <v>43</v>
      </c>
      <c r="U15" s="127" t="s">
        <v>43</v>
      </c>
      <c r="V15" s="116" t="e">
        <f aca="true" t="shared" si="6" ref="V15:AA15">$N15*P15</f>
        <v>#VALUE!</v>
      </c>
      <c r="W15" s="116" t="e">
        <f t="shared" si="6"/>
        <v>#VALUE!</v>
      </c>
      <c r="X15" s="116" t="e">
        <f t="shared" si="6"/>
        <v>#VALUE!</v>
      </c>
      <c r="Y15" s="116" t="e">
        <f t="shared" si="6"/>
        <v>#VALUE!</v>
      </c>
      <c r="Z15" s="116" t="e">
        <f t="shared" si="6"/>
        <v>#VALUE!</v>
      </c>
      <c r="AA15" s="116" t="e">
        <f t="shared" si="6"/>
        <v>#VALUE!</v>
      </c>
      <c r="AB15" s="76"/>
    </row>
    <row r="16" spans="3:28" s="55" customFormat="1" ht="12.75">
      <c r="C16" s="150"/>
      <c r="D16" s="76"/>
      <c r="E16" s="104"/>
      <c r="F16" s="104"/>
      <c r="G16" s="76"/>
      <c r="I16" s="249"/>
      <c r="K16" s="174"/>
      <c r="M16" s="107"/>
      <c r="N16" s="250"/>
      <c r="O16" s="104"/>
      <c r="P16" s="127"/>
      <c r="Q16" s="127"/>
      <c r="R16" s="127"/>
      <c r="S16" s="127"/>
      <c r="T16" s="127"/>
      <c r="U16" s="127"/>
      <c r="V16" s="58"/>
      <c r="W16" s="58"/>
      <c r="X16" s="58"/>
      <c r="Y16" s="58"/>
      <c r="Z16" s="58"/>
      <c r="AA16" s="58"/>
      <c r="AB16" s="76"/>
    </row>
    <row r="17" spans="2:28" ht="12.75">
      <c r="B17" s="3" t="s">
        <v>175</v>
      </c>
      <c r="C17" s="26" t="s">
        <v>370</v>
      </c>
      <c r="D17" s="111"/>
      <c r="E17" s="3" t="s">
        <v>43</v>
      </c>
      <c r="F17" s="3" t="s">
        <v>43</v>
      </c>
      <c r="G17" s="76" t="s">
        <v>43</v>
      </c>
      <c r="H17" s="3" t="s">
        <v>43</v>
      </c>
      <c r="I17" s="250"/>
      <c r="J17" t="s">
        <v>43</v>
      </c>
      <c r="K17" s="173" t="s">
        <v>43</v>
      </c>
      <c r="L17" s="3" t="s">
        <v>36</v>
      </c>
      <c r="M17" s="33"/>
      <c r="N17" s="250"/>
      <c r="O17" s="3" t="s">
        <v>36</v>
      </c>
      <c r="P17" s="127" t="s">
        <v>43</v>
      </c>
      <c r="Q17" s="127" t="s">
        <v>43</v>
      </c>
      <c r="R17" s="127" t="s">
        <v>43</v>
      </c>
      <c r="S17" s="127" t="s">
        <v>43</v>
      </c>
      <c r="T17" s="127" t="s">
        <v>43</v>
      </c>
      <c r="U17" s="127" t="s">
        <v>43</v>
      </c>
      <c r="V17" s="114" t="e">
        <f aca="true" t="shared" si="7" ref="V17:AA17">$N17*P17</f>
        <v>#VALUE!</v>
      </c>
      <c r="W17" s="114" t="e">
        <f t="shared" si="7"/>
        <v>#VALUE!</v>
      </c>
      <c r="X17" s="114" t="e">
        <f t="shared" si="7"/>
        <v>#VALUE!</v>
      </c>
      <c r="Y17" s="114" t="e">
        <f t="shared" si="7"/>
        <v>#VALUE!</v>
      </c>
      <c r="Z17" s="114" t="e">
        <f t="shared" si="7"/>
        <v>#VALUE!</v>
      </c>
      <c r="AA17" s="114" t="e">
        <f t="shared" si="7"/>
        <v>#VALUE!</v>
      </c>
      <c r="AB17" s="76"/>
    </row>
    <row r="18" spans="2:28" s="55" customFormat="1" ht="12.75">
      <c r="B18" s="104"/>
      <c r="C18" s="137"/>
      <c r="D18" s="76"/>
      <c r="E18" s="149"/>
      <c r="F18" s="104"/>
      <c r="G18" s="76"/>
      <c r="H18" s="104"/>
      <c r="I18" s="250"/>
      <c r="K18" s="115"/>
      <c r="L18" s="104"/>
      <c r="M18" s="138"/>
      <c r="N18" s="250"/>
      <c r="O18" s="104"/>
      <c r="P18" s="130"/>
      <c r="Q18" s="130"/>
      <c r="R18" s="130"/>
      <c r="S18" s="130"/>
      <c r="T18" s="130"/>
      <c r="U18" s="127"/>
      <c r="V18" s="116"/>
      <c r="W18" s="116"/>
      <c r="X18" s="116"/>
      <c r="Y18" s="116"/>
      <c r="Z18" s="116"/>
      <c r="AA18" s="116"/>
      <c r="AB18" s="76"/>
    </row>
    <row r="19" spans="3:15" ht="12.75">
      <c r="C19" s="9"/>
      <c r="M19" s="14"/>
      <c r="N19" s="241"/>
      <c r="O19" s="3"/>
    </row>
    <row r="20" spans="3:15" ht="12.75">
      <c r="C20" s="9"/>
      <c r="M20" s="14"/>
      <c r="N20" s="251"/>
      <c r="O20" s="3"/>
    </row>
    <row r="21" spans="3:4" ht="12.75">
      <c r="C21" s="12"/>
      <c r="D21" s="8"/>
    </row>
    <row r="22" ht="12.75">
      <c r="D22" s="8"/>
    </row>
    <row r="23" spans="3:5" ht="12.75">
      <c r="C23" s="48"/>
      <c r="D23" s="95"/>
      <c r="E23" s="48"/>
    </row>
    <row r="24" spans="3:5" ht="12.75">
      <c r="C24" s="48"/>
      <c r="D24" s="465"/>
      <c r="E24" s="48"/>
    </row>
    <row r="25" spans="3:5" ht="12.75">
      <c r="C25" s="48"/>
      <c r="D25" s="465"/>
      <c r="E25" s="48"/>
    </row>
    <row r="26" spans="3:5" ht="12.75">
      <c r="C26" s="48"/>
      <c r="D26" s="48"/>
      <c r="E26" s="48"/>
    </row>
    <row r="27" spans="3:5" ht="12.75">
      <c r="C27" s="48"/>
      <c r="D27" s="48"/>
      <c r="E27" s="48"/>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3"/>
  <headerFooter>
    <oddFooter>&amp;L&amp;A
Printed &amp;D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D35" sqref="D35"/>
    </sheetView>
  </sheetViews>
  <sheetFormatPr defaultColWidth="9.140625" defaultRowHeight="12.75"/>
  <cols>
    <col min="1" max="1" width="43.140625" style="346" customWidth="1"/>
    <col min="2" max="2" width="8.8515625" style="367" customWidth="1"/>
    <col min="3" max="3" width="14.140625" style="346" customWidth="1"/>
    <col min="4" max="4" width="29.57421875" style="346" customWidth="1"/>
    <col min="5" max="5" width="12.57421875" style="346" customWidth="1"/>
    <col min="6" max="6" width="11.421875" style="346" customWidth="1"/>
    <col min="7" max="7" width="13.00390625" style="346" customWidth="1"/>
    <col min="8" max="8" width="13.140625" style="346" customWidth="1"/>
    <col min="9" max="9" width="12.421875" style="346" customWidth="1"/>
    <col min="10" max="10" width="11.57421875" style="346" customWidth="1"/>
    <col min="11" max="11" width="16.140625" style="346" customWidth="1"/>
    <col min="12" max="12" width="5.7109375" style="346" customWidth="1"/>
    <col min="13" max="13" width="9.140625" style="346" customWidth="1"/>
    <col min="14" max="14" width="0" style="346" hidden="1" customWidth="1"/>
    <col min="15" max="16384" width="9.140625" style="346" customWidth="1"/>
  </cols>
  <sheetData>
    <row r="1" spans="1:2" ht="12.75">
      <c r="A1" s="404" t="s">
        <v>397</v>
      </c>
      <c r="B1" s="364"/>
    </row>
    <row r="2" spans="1:12" ht="30" customHeight="1">
      <c r="A2" s="690">
        <f>IF(ISNA(MATCH("n",N5:N17,0)),"","
The Estimated Hg input (or equivalent inserted IL2 results) marked in red colour is very high compared to previous observations. Data may be correct, but please confirm your activity rate data (or inserted IL2 data).")</f>
      </c>
      <c r="B2" s="691"/>
      <c r="C2" s="691"/>
      <c r="D2" s="691"/>
      <c r="E2" s="691"/>
      <c r="F2" s="691"/>
      <c r="G2" s="691"/>
      <c r="H2" s="691"/>
      <c r="I2" s="691"/>
      <c r="J2" s="691"/>
      <c r="K2" s="691"/>
      <c r="L2" s="692"/>
    </row>
    <row r="3" spans="1:12" s="368" customFormat="1" ht="38.25">
      <c r="A3" s="266" t="s">
        <v>323</v>
      </c>
      <c r="B3" s="505" t="s">
        <v>381</v>
      </c>
      <c r="C3" s="272" t="s">
        <v>518</v>
      </c>
      <c r="D3" s="266"/>
      <c r="E3" s="314" t="s">
        <v>373</v>
      </c>
      <c r="F3" s="687" t="s">
        <v>379</v>
      </c>
      <c r="G3" s="688"/>
      <c r="H3" s="688"/>
      <c r="I3" s="688"/>
      <c r="J3" s="688"/>
      <c r="K3" s="689"/>
      <c r="L3" s="266"/>
    </row>
    <row r="4" spans="1:13" ht="43.5" customHeight="1" thickBot="1">
      <c r="A4" s="269" t="s">
        <v>536</v>
      </c>
      <c r="B4" s="519" t="str">
        <f>quest</f>
        <v>Y/N/?</v>
      </c>
      <c r="C4" s="271" t="s">
        <v>383</v>
      </c>
      <c r="D4" s="272" t="s">
        <v>35</v>
      </c>
      <c r="E4" s="267" t="s">
        <v>378</v>
      </c>
      <c r="F4" s="273" t="s">
        <v>38</v>
      </c>
      <c r="G4" s="273" t="s">
        <v>39</v>
      </c>
      <c r="H4" s="273" t="s">
        <v>40</v>
      </c>
      <c r="I4" s="460" t="s">
        <v>521</v>
      </c>
      <c r="J4" s="267" t="s">
        <v>42</v>
      </c>
      <c r="K4" s="267" t="s">
        <v>380</v>
      </c>
      <c r="L4" s="266" t="s">
        <v>372</v>
      </c>
      <c r="M4" s="329" t="s">
        <v>56</v>
      </c>
    </row>
    <row r="5" spans="1:14" ht="15.75">
      <c r="A5" s="274" t="s">
        <v>398</v>
      </c>
      <c r="B5" s="374"/>
      <c r="C5" s="387"/>
      <c r="D5" s="275" t="s">
        <v>1003</v>
      </c>
      <c r="E5" s="488" t="str">
        <f>IF(OR($B5=yes,$B5=yes),'5-4 Int Hg in Industry'!K7,IF(OR($B5=no,$B5=no),"-",IF($B5=que,que,pres)))</f>
        <v>Present?</v>
      </c>
      <c r="F5" s="284" t="str">
        <f>IF(OR($B5=yes,$B5=yes),'5-4 Int Hg in Industry'!V8,IF(OR($B5=no,$B5=no),"-",IF($B5=que,que,pres)))</f>
        <v>Present?</v>
      </c>
      <c r="G5" s="284" t="str">
        <f>IF(OR($B5=yes,$B5=yes),'5-4 Int Hg in Industry'!W8,IF(OR($B5=no,$B5=no),"-",IF($B5=que,que,pres)))</f>
        <v>Present?</v>
      </c>
      <c r="H5" s="284" t="str">
        <f>IF(OR($B5=yes,$B5=yes),'5-4 Int Hg in Industry'!X8,IF(OR($B5=no,$B5=no),"-",IF($B5=que,que,pres)))</f>
        <v>Present?</v>
      </c>
      <c r="I5" s="284" t="str">
        <f>IF(OR($B5=yes,$B5=yes),'5-4 Int Hg in Industry'!Y8,IF(OR($B5=no,$B5=no),"-",IF($B5=que,que,pres)))</f>
        <v>Present?</v>
      </c>
      <c r="J5" s="284" t="str">
        <f>IF(OR($B5=yes,$B5=yes),'5-4 Int Hg in Industry'!Z8,IF(OR($B5=no,$B5=no),"-",IF($B5=que,que,pres)))</f>
        <v>Present?</v>
      </c>
      <c r="K5" s="284" t="str">
        <f>IF(OR($B5=yes,$B5=yes),'5-4 Int Hg in Industry'!AA8,IF(OR($B5=no,$B5=no),"-",IF($B5=que,que,pres)))</f>
        <v>Present?</v>
      </c>
      <c r="L5" s="277" t="s">
        <v>152</v>
      </c>
      <c r="M5" s="492"/>
      <c r="N5" s="346">
        <f>INDEX('Range-thresholds'!$G$6:$G$72,MATCH(A5,'Range-thresholds'!$A$6:$A$72,0))</f>
      </c>
    </row>
    <row r="6" spans="1:14" ht="12.75">
      <c r="A6" s="274" t="s">
        <v>156</v>
      </c>
      <c r="B6" s="402"/>
      <c r="C6" s="389"/>
      <c r="D6" s="275" t="s">
        <v>1004</v>
      </c>
      <c r="E6" s="488" t="str">
        <f>IF(OR($B6=yes,$B6=yes),'5-4 Int Hg in Industry'!K10,IF(OR($B6=no,$B6=no),"-",IF($B6=que,que,pres)))</f>
        <v>Present?</v>
      </c>
      <c r="F6" s="284" t="str">
        <f>IF(OR($B6=yes,$B6=yes),'5-4 Int Hg in Industry'!V10,IF(OR($B6=no,$B6=no),"-",IF($B6=que,que,pres)))</f>
        <v>Present?</v>
      </c>
      <c r="G6" s="284" t="str">
        <f>IF(OR($B6=yes,$B6=yes),'5-4 Int Hg in Industry'!W10,IF(OR($B6=no,$B6=no),"-",IF($B6=que,que,pres)))</f>
        <v>Present?</v>
      </c>
      <c r="H6" s="284" t="str">
        <f>IF(OR($B6=yes,$B6=yes),'5-4 Int Hg in Industry'!X10,IF(OR($B6=no,$B6=no),"-",IF($B6=que,que,pres)))</f>
        <v>Present?</v>
      </c>
      <c r="I6" s="284" t="str">
        <f>IF(OR($B6=yes,$B6=yes),'5-4 Int Hg in Industry'!Y10,IF(OR($B6=no,$B6=no),"-",IF($B6=que,que,pres)))</f>
        <v>Present?</v>
      </c>
      <c r="J6" s="284" t="str">
        <f>IF(OR($B6=yes,$B6=yes),'5-4 Int Hg in Industry'!Z10,IF(OR($B6=no,$B6=no),"-",IF($B6=que,que,pres)))</f>
        <v>Present?</v>
      </c>
      <c r="K6" s="284" t="str">
        <f>IF(OR($B6=yes,$B6=yes),'5-4 Int Hg in Industry'!AA10,IF(OR($B6=no,$B6=no),"-",IF($B6=que,que,pres)))</f>
        <v>Present?</v>
      </c>
      <c r="L6" s="277" t="s">
        <v>154</v>
      </c>
      <c r="M6" s="492"/>
      <c r="N6" s="346">
        <f>INDEX('Range-thresholds'!$G$6:$G$72,MATCH(A6,'Range-thresholds'!$A$6:$A$72,0))</f>
      </c>
    </row>
    <row r="7" spans="1:14" ht="13.5" thickBot="1">
      <c r="A7" s="274" t="s">
        <v>157</v>
      </c>
      <c r="B7" s="375"/>
      <c r="C7" s="416"/>
      <c r="D7" s="355" t="s">
        <v>1005</v>
      </c>
      <c r="E7" s="488" t="str">
        <f>IF(OR($B7=yes,$B7=yes),'5-4 Int Hg in Industry'!K12,IF(OR($B7=no,$B7=no),"-",IF($B7=que,que,pres)))</f>
        <v>Present?</v>
      </c>
      <c r="F7" s="284" t="str">
        <f>IF(OR($B7=yes,$B7=yes),'5-4 Int Hg in Industry'!V12,IF(OR($B7=no,$B7=no),"-",IF($B7=que,que,pres)))</f>
        <v>Present?</v>
      </c>
      <c r="G7" s="284" t="str">
        <f>IF(OR($B7=yes,$B7=yes),'5-4 Int Hg in Industry'!W12,IF(OR($B7=no,$B7=no),"-",IF($B7=que,que,pres)))</f>
        <v>Present?</v>
      </c>
      <c r="H7" s="284" t="str">
        <f>IF(OR($B7=yes,$B7=yes),'5-4 Int Hg in Industry'!X12,IF(OR($B7=no,$B7=no),"-",IF($B7=que,que,pres)))</f>
        <v>Present?</v>
      </c>
      <c r="I7" s="284" t="str">
        <f>IF(OR($B7=yes,$B7=yes),'5-4 Int Hg in Industry'!Y12,IF(OR($B7=no,$B7=no),"-",IF($B7=que,que,pres)))</f>
        <v>Present?</v>
      </c>
      <c r="J7" s="284" t="str">
        <f>IF(OR($B7=yes,$B7=yes),'5-4 Int Hg in Industry'!Z12,IF(OR($B7=no,$B7=no),"-",IF($B7=que,que,pres)))</f>
        <v>Present?</v>
      </c>
      <c r="K7" s="284" t="str">
        <f>IF(OR($B7=yes,$B7=yes),'5-4 Int Hg in Industry'!AA12,IF(OR($B7=no,$B7=no),"-",IF($B7=que,que,pres)))</f>
        <v>Present?</v>
      </c>
      <c r="L7" s="277" t="s">
        <v>399</v>
      </c>
      <c r="M7" s="492"/>
      <c r="N7" s="346">
        <f>INDEX('Range-thresholds'!$G$6:$G$72,MATCH(A7,'Range-thresholds'!$A$6:$A$72,0))</f>
      </c>
    </row>
    <row r="8" spans="1:13" ht="12.75">
      <c r="A8" s="266"/>
      <c r="B8" s="521"/>
      <c r="C8" s="357"/>
      <c r="D8" s="277"/>
      <c r="E8" s="283"/>
      <c r="F8" s="284"/>
      <c r="G8" s="284"/>
      <c r="H8" s="284"/>
      <c r="I8" s="284"/>
      <c r="J8" s="284"/>
      <c r="K8" s="284"/>
      <c r="L8" s="277"/>
      <c r="M8" s="492"/>
    </row>
    <row r="9" spans="1:13" ht="13.5" thickBot="1">
      <c r="A9" s="269" t="s">
        <v>401</v>
      </c>
      <c r="B9" s="522"/>
      <c r="C9" s="354"/>
      <c r="D9" s="277"/>
      <c r="E9" s="283"/>
      <c r="F9" s="284"/>
      <c r="G9" s="284"/>
      <c r="H9" s="284"/>
      <c r="I9" s="284"/>
      <c r="J9" s="284"/>
      <c r="K9" s="284"/>
      <c r="L9" s="277"/>
      <c r="M9" s="492"/>
    </row>
    <row r="10" spans="1:14" ht="25.5">
      <c r="A10" s="279" t="s">
        <v>1027</v>
      </c>
      <c r="B10" s="374"/>
      <c r="C10" s="387"/>
      <c r="D10" s="352" t="s">
        <v>1006</v>
      </c>
      <c r="E10" s="488" t="str">
        <f>IF(OR($B10=yes,$B10=yes),'5-5 Cons prod'!K7,IF(OR($B10=no,$B10=no),"-",IF($B10=que,que,pres)))</f>
        <v>Present?</v>
      </c>
      <c r="F10" s="284" t="str">
        <f>IF(OR($B10=yes,$B10=yes),'5-5 Cons prod'!V7,IF(OR($B10=no,$B10=no),"-",IF($B10=que,que,pres)))</f>
        <v>Present?</v>
      </c>
      <c r="G10" s="284" t="str">
        <f>IF(OR($B10=yes,$B10=yes),'5-5 Cons prod'!W7,IF(OR($B10=no,$B10=no),"-",IF($B10=que,que,pres)))</f>
        <v>Present?</v>
      </c>
      <c r="H10" s="284" t="str">
        <f>IF(OR($B10=yes,$B10=yes),'5-5 Cons prod'!X7,IF(OR($B10=no,$B10=no),"-",IF($B10=que,que,pres)))</f>
        <v>Present?</v>
      </c>
      <c r="I10" s="284" t="str">
        <f>IF(OR($B10=yes,$B10=yes),'5-5 Cons prod'!Y7,IF(OR($B10=no,$B10=no),"-",IF($B10=que,que,pres)))</f>
        <v>Present?</v>
      </c>
      <c r="J10" s="284" t="str">
        <f>IF(OR($B10=yes,$B10=yes),'5-5 Cons prod'!Z7,IF(OR($B10=no,$B10=no),"-",IF($B10=que,que,pres)))</f>
        <v>Present?</v>
      </c>
      <c r="K10" s="284" t="str">
        <f>IF(OR($B10=yes,$B10=yes),'5-5 Cons prod'!AA7,IF(OR($B10=no,$B10=no),"-",IF($B10=que,que,pres)))</f>
        <v>Present?</v>
      </c>
      <c r="L10" s="277" t="s">
        <v>91</v>
      </c>
      <c r="M10" s="493"/>
      <c r="N10" s="346">
        <f>INDEX('Range-thresholds'!$G$6:$G$72,MATCH(A10,'Range-thresholds'!$A$6:$A$72,0))</f>
      </c>
    </row>
    <row r="11" spans="1:14" ht="12.75">
      <c r="A11" s="279" t="s">
        <v>1028</v>
      </c>
      <c r="B11" s="402"/>
      <c r="C11" s="389"/>
      <c r="D11" s="352" t="s">
        <v>1006</v>
      </c>
      <c r="E11" s="488" t="str">
        <f>IF(OR($B11=yes,$B11=yes),'5-5 Cons prod'!K19,IF(OR($B11=no,$B11=no),"-",IF($B11=que,que,pres)))</f>
        <v>Present?</v>
      </c>
      <c r="F11" s="284" t="str">
        <f>IF(OR($B11=yes,$B11=yes),'5-5 Cons prod'!V19,IF(OR($B11=no,$B11=no),"-",IF($B11=que,que,pres)))</f>
        <v>Present?</v>
      </c>
      <c r="G11" s="284" t="str">
        <f>IF(OR($B11=yes,$B11=yes),'5-5 Cons prod'!W19,IF(OR($B11=no,$B11=no),"-",IF($B11=que,que,pres)))</f>
        <v>Present?</v>
      </c>
      <c r="H11" s="284" t="str">
        <f>IF(OR($B11=yes,$B11=yes),'5-5 Cons prod'!X19,IF(OR($B11=no,$B11=no),"-",IF($B11=que,que,pres)))</f>
        <v>Present?</v>
      </c>
      <c r="I11" s="284" t="str">
        <f>IF(OR($B11=yes,$B11=yes),'5-5 Cons prod'!Y19,IF(OR($B11=no,$B11=no),"-",IF($B11=que,que,pres)))</f>
        <v>Present?</v>
      </c>
      <c r="J11" s="284" t="str">
        <f>IF(OR($B11=yes,$B11=yes),'5-5 Cons prod'!Z19,IF(OR($B11=no,$B11=no),"-",IF($B11=que,que,pres)))</f>
        <v>Present?</v>
      </c>
      <c r="K11" s="284" t="str">
        <f>IF(OR($B11=yes,$B11=yes),'5-5 Cons prod'!AA19,IF(OR($B11=no,$B11=no),"-",IF($B11=que,que,pres)))</f>
        <v>Present?</v>
      </c>
      <c r="L11" s="277" t="s">
        <v>116</v>
      </c>
      <c r="M11" s="493"/>
      <c r="N11" s="346">
        <f>INDEX('Range-thresholds'!$G$6:$G$72,MATCH(A11,'Range-thresholds'!$A$6:$A$72,0))</f>
      </c>
    </row>
    <row r="12" spans="1:14" ht="25.5">
      <c r="A12" s="279" t="s">
        <v>1029</v>
      </c>
      <c r="B12" s="402"/>
      <c r="C12" s="389"/>
      <c r="D12" s="352" t="s">
        <v>1006</v>
      </c>
      <c r="E12" s="488" t="str">
        <f>IF(OR($B12=yes,$B12=yes),'5-5 Cons prod'!K26,IF(OR($B12=no,$B12=no),"-",IF($B12=que,que,pres)))</f>
        <v>Present?</v>
      </c>
      <c r="F12" s="284" t="str">
        <f>IF(OR($B12=yes,$B12=yes),'5-5 Cons prod'!V26,IF(OR($B12=no,$B12=no),"-",IF($B12=que,que,pres)))</f>
        <v>Present?</v>
      </c>
      <c r="G12" s="284" t="str">
        <f>IF(OR($B12=yes,$B12=yes),'5-5 Cons prod'!W26,IF(OR($B12=no,$B12=no),"-",IF($B12=que,que,pres)))</f>
        <v>Present?</v>
      </c>
      <c r="H12" s="284" t="str">
        <f>IF(OR($B12=yes,$B12=yes),'5-5 Cons prod'!X26,IF(OR($B12=no,$B12=no),"-",IF($B12=que,que,pres)))</f>
        <v>Present?</v>
      </c>
      <c r="I12" s="284" t="str">
        <f>IF(OR($B12=yes,$B12=yes),'5-5 Cons prod'!Y26,IF(OR($B12=no,$B12=no),"-",IF($B12=que,que,pres)))</f>
        <v>Present?</v>
      </c>
      <c r="J12" s="284" t="str">
        <f>IF(OR($B12=yes,$B12=yes),'5-5 Cons prod'!Z26,IF(OR($B12=no,$B12=no),"-",IF($B12=que,que,pres)))</f>
        <v>Present?</v>
      </c>
      <c r="K12" s="284" t="str">
        <f>IF(OR($B12=yes,$B12=yes),'5-5 Cons prod'!AA26,IF(OR($B12=no,$B12=no),"-",IF($B12=que,que,pres)))</f>
        <v>Present?</v>
      </c>
      <c r="L12" s="277" t="s">
        <v>121</v>
      </c>
      <c r="M12" s="492"/>
      <c r="N12" s="346">
        <f>INDEX('Range-thresholds'!$G$6:$G$72,MATCH(A12,'Range-thresholds'!$A$6:$A$72,0))</f>
      </c>
    </row>
    <row r="13" spans="1:14" ht="12.75">
      <c r="A13" s="279" t="s">
        <v>1030</v>
      </c>
      <c r="B13" s="402"/>
      <c r="C13" s="389"/>
      <c r="D13" s="352" t="s">
        <v>1006</v>
      </c>
      <c r="E13" s="488" t="str">
        <f>IF(OR($B13=yes,$B13=yes),'5-5 Cons prod'!K36,IF(OR($B13=no,$B13=no),"-",IF($B13=que,que,pres)))</f>
        <v>Present?</v>
      </c>
      <c r="F13" s="284" t="str">
        <f>IF(OR($B13=yes,$B13=yes),'5-5 Cons prod'!V36,IF(OR($B13=no,$B13=no),"-",IF($B13=que,que,pres)))</f>
        <v>Present?</v>
      </c>
      <c r="G13" s="284" t="str">
        <f>IF(OR($B13=yes,$B13=yes),'5-5 Cons prod'!W36,IF(OR($B13=no,$B13=no),"-",IF($B13=que,que,pres)))</f>
        <v>Present?</v>
      </c>
      <c r="H13" s="284" t="str">
        <f>IF(OR($B13=yes,$B13=yes),'5-5 Cons prod'!X36,IF(OR($B13=no,$B13=no),"-",IF($B13=que,que,pres)))</f>
        <v>Present?</v>
      </c>
      <c r="I13" s="284" t="str">
        <f>IF(OR($B13=yes,$B13=yes),'5-5 Cons prod'!Y36,IF(OR($B13=no,$B13=no),"-",IF($B13=que,que,pres)))</f>
        <v>Present?</v>
      </c>
      <c r="J13" s="284" t="str">
        <f>IF(OR($B13=yes,$B13=yes),'5-5 Cons prod'!Z36,IF(OR($B13=no,$B13=no),"-",IF($B13=que,que,pres)))</f>
        <v>Present?</v>
      </c>
      <c r="K13" s="284" t="str">
        <f>IF(OR($B13=yes,$B13=yes),'5-5 Cons prod'!AA36,IF(OR($B13=no,$B13=no),"-",IF($B13=que,que,pres)))</f>
        <v>Present?</v>
      </c>
      <c r="L13" s="277" t="s">
        <v>137</v>
      </c>
      <c r="M13" s="492"/>
      <c r="N13" s="346">
        <f>INDEX('Range-thresholds'!$G$6:$G$72,MATCH(A13,'Range-thresholds'!$A$6:$A$72,0))</f>
      </c>
    </row>
    <row r="14" spans="1:14" ht="12.75">
      <c r="A14" s="279" t="s">
        <v>1031</v>
      </c>
      <c r="B14" s="402"/>
      <c r="C14" s="389"/>
      <c r="D14" s="352" t="s">
        <v>1006</v>
      </c>
      <c r="E14" s="488" t="str">
        <f>IF(OR($B14=yes,$B14=yes),'5-6 Other int use'!N14,IF(OR($B14=no,$B14=no),"-",IF($B14=que,que,pres)))</f>
        <v>Present?</v>
      </c>
      <c r="F14" s="284" t="str">
        <f>IF(OR($B14=yes,$B14=yes),'5-6 Other int use'!V14,IF(OR($B14=no,$B14=no),"-",IF($B14=que,que,pres)))</f>
        <v>Present?</v>
      </c>
      <c r="G14" s="284" t="str">
        <f>IF(OR($B14=yes,$B14=yes),'5-6 Other int use'!W14,IF(OR($B14=no,$B14=no),"-",IF($B14=que,que,pres)))</f>
        <v>Present?</v>
      </c>
      <c r="H14" s="284" t="str">
        <f>IF(OR($B14=yes,$B14=yes),'5-6 Other int use'!X14,IF(OR($B14=no,$B14=no),"-",IF($B14=que,que,pres)))</f>
        <v>Present?</v>
      </c>
      <c r="I14" s="284" t="str">
        <f>IF(OR($B14=yes,$B14=yes),'5-6 Other int use'!Y14,IF(OR($B14=no,$B14=no),"-",IF($B14=que,que,pres)))</f>
        <v>Present?</v>
      </c>
      <c r="J14" s="284" t="str">
        <f>IF(OR($B14=yes,$B14=yes),'5-6 Other int use'!Z14,IF(OR($B14=no,$B14=no),"-",IF($B14=que,que,pres)))</f>
        <v>Present?</v>
      </c>
      <c r="K14" s="284" t="str">
        <f>IF(OR($B14=yes,$B14=yes),'5-6 Other int use'!AA14,IF(OR($B14=no,$B14=no),"-",IF($B14=que,que,pres)))</f>
        <v>Present?</v>
      </c>
      <c r="L14" s="277" t="s">
        <v>235</v>
      </c>
      <c r="M14" s="492"/>
      <c r="N14" s="346">
        <f>INDEX('Range-thresholds'!$G$6:$G$72,MATCH(A14,'Range-thresholds'!$A$6:$A$72,0))</f>
      </c>
    </row>
    <row r="15" spans="1:14" ht="12.75">
      <c r="A15" s="279" t="s">
        <v>1032</v>
      </c>
      <c r="B15" s="402"/>
      <c r="C15" s="389"/>
      <c r="D15" s="352" t="s">
        <v>1006</v>
      </c>
      <c r="E15" s="488" t="str">
        <f>IF(OR($B15=yes,$B15=yes),'5-5 Cons prod'!K55,IF(OR($B15=no,$B15=no),"-",IF($B15=que,que,pres)))</f>
        <v>Present?</v>
      </c>
      <c r="F15" s="284" t="str">
        <f>IF(OR($B15=yes,$B15=yes),'5-5 Cons prod'!V55,IF(OR($B15=no,$B15=no),"-",IF($B15=que,que,pres)))</f>
        <v>Present?</v>
      </c>
      <c r="G15" s="284" t="str">
        <f>IF(OR($B15=yes,$B15=yes),'5-5 Cons prod'!W55,IF(OR($B15=no,$B15=no),"-",IF($B15=que,que,pres)))</f>
        <v>Present?</v>
      </c>
      <c r="H15" s="284" t="str">
        <f>IF(OR($B15=yes,$B15=yes),'5-5 Cons prod'!X55,IF(OR($B15=no,$B15=no),"-",IF($B15=que,que,pres)))</f>
        <v>Present?</v>
      </c>
      <c r="I15" s="284" t="str">
        <f>IF(OR($B15=yes,$B15=yes),'5-5 Cons prod'!Y55,IF(OR($B15=no,$B15=no),"-",IF($B15=que,que,pres)))</f>
        <v>Present?</v>
      </c>
      <c r="J15" s="284" t="str">
        <f>IF(OR($B15=yes,$B15=yes),'5-5 Cons prod'!Z55,IF(OR($B15=no,$B15=no),"-",IF($B15=que,que,pres)))</f>
        <v>Present?</v>
      </c>
      <c r="K15" s="284" t="str">
        <f>IF(OR($B15=yes,$B15=yes),'5-5 Cons prod'!AA55,IF(OR($B15=no,$B15=no),"-",IF($B15=que,que,pres)))</f>
        <v>Present?</v>
      </c>
      <c r="L15" s="277" t="s">
        <v>136</v>
      </c>
      <c r="M15" s="492"/>
      <c r="N15" s="346">
        <f>INDEX('Range-thresholds'!$G$6:$G$72,MATCH(A15,'Range-thresholds'!$A$6:$A$72,0))</f>
      </c>
    </row>
    <row r="16" spans="1:14" ht="12.75">
      <c r="A16" s="279" t="s">
        <v>1033</v>
      </c>
      <c r="B16" s="474"/>
      <c r="C16" s="389"/>
      <c r="D16" s="352" t="s">
        <v>1006</v>
      </c>
      <c r="E16" s="488" t="str">
        <f>IF(OR($B16=yes,$B16=yes),'5-5 Cons prod'!K59,IF(OR($B16=no,$B16=no),"-",IF($B16=que,que,pres)))</f>
        <v>Present?</v>
      </c>
      <c r="F16" s="284" t="str">
        <f>IF(OR($B16=yes,$B16=yes),'5-5 Cons prod'!V59,IF(OR($B16=no,$B16=no),"-",IF($B16=que,que,pres)))</f>
        <v>Present?</v>
      </c>
      <c r="G16" s="284" t="str">
        <f>IF(OR($B16=yes,$B16=yes),'5-5 Cons prod'!W59,IF(OR($B16=no,$B16=no),"-",IF($B16=que,que,pres)))</f>
        <v>Present?</v>
      </c>
      <c r="H16" s="284" t="str">
        <f>IF(OR($B16=yes,$B16=yes),'5-5 Cons prod'!X59,IF(OR($B16=no,$B16=no),"-",IF($B16=que,que,pres)))</f>
        <v>Present?</v>
      </c>
      <c r="I16" s="284" t="str">
        <f>IF(OR($B16=yes,$B16=yes),'5-5 Cons prod'!Y59,IF(OR($B16=no,$B16=no),"-",IF($B16=que,que,pres)))</f>
        <v>Present?</v>
      </c>
      <c r="J16" s="284" t="str">
        <f>IF(OR($B16=yes,$B16=yes),'5-5 Cons prod'!Z59,IF(OR($B16=no,$B16=no),"-",IF($B16=que,que,pres)))</f>
        <v>Present?</v>
      </c>
      <c r="K16" s="284" t="str">
        <f>IF(OR($B16=yes,$B16=yes),'5-5 Cons prod'!AA59,IF(OR($B16=no,$B16=no),"-",IF($B16=que,que,pres)))</f>
        <v>Present?</v>
      </c>
      <c r="L16" s="277" t="s">
        <v>145</v>
      </c>
      <c r="M16" s="492"/>
      <c r="N16" s="346">
        <f>INDEX('Range-thresholds'!$G$6:$G$72,MATCH(A16,'Range-thresholds'!$A$6:$A$72,0))</f>
      </c>
    </row>
    <row r="17" spans="1:14" ht="26.25" thickBot="1">
      <c r="A17" s="279" t="s">
        <v>1034</v>
      </c>
      <c r="B17" s="375"/>
      <c r="C17" s="416"/>
      <c r="D17" s="352" t="s">
        <v>1006</v>
      </c>
      <c r="E17" s="488" t="str">
        <f>IF(OR($B17=yes,$B17=yes),'5-5 Cons prod'!K63,IF(OR($B17=no,$B17=no),"-",IF($B17=que,que,pres)))</f>
        <v>Present?</v>
      </c>
      <c r="F17" s="284" t="str">
        <f>IF(OR($B17=yes,$B17=yes),'5-5 Cons prod'!V63,IF(OR($B17=no,$B17=no),"-",IF($B17=que,que,pres)))</f>
        <v>Present?</v>
      </c>
      <c r="G17" s="284" t="str">
        <f>IF(OR($B17=yes,$B17=yes),'5-5 Cons prod'!W63,IF(OR($B17=no,$B17=no),"-",IF($B17=que,que,pres)))</f>
        <v>Present?</v>
      </c>
      <c r="H17" s="284" t="str">
        <f>IF(OR($B17=yes,$B17=yes),'5-5 Cons prod'!X63,IF(OR($B17=no,$B17=no),"-",IF($B17=que,que,pres)))</f>
        <v>Present?</v>
      </c>
      <c r="I17" s="284" t="str">
        <f>IF(OR($B17=yes,$B17=yes),'5-5 Cons prod'!Y63,IF(OR($B17=no,$B17=no),"-",IF($B17=que,que,pres)))</f>
        <v>Present?</v>
      </c>
      <c r="J17" s="284" t="str">
        <f>IF(OR($B17=yes,$B17=yes),'5-5 Cons prod'!Z63,IF(OR($B17=no,$B17=no),"-",IF($B17=que,que,pres)))</f>
        <v>Present?</v>
      </c>
      <c r="K17" s="284" t="str">
        <f>IF(OR($B17=yes,$B17=yes),'5-5 Cons prod'!AA63,IF(OR($B17=no,$B17=no),"-",IF($B17=que,que,pres)))</f>
        <v>Present?</v>
      </c>
      <c r="L17" s="277" t="s">
        <v>402</v>
      </c>
      <c r="M17" s="493"/>
      <c r="N17" s="346">
        <f>INDEX('Range-thresholds'!$G$6:$G$72,MATCH(A17,'Range-thresholds'!$A$6:$A$72,0))</f>
      </c>
    </row>
    <row r="18" spans="1:2" ht="12.75">
      <c r="A18" s="365"/>
      <c r="B18" s="366"/>
    </row>
    <row r="19" spans="1:2" ht="12.75">
      <c r="A19" s="365"/>
      <c r="B19" s="366"/>
    </row>
    <row r="20" ht="12.75">
      <c r="A20" s="683" t="s">
        <v>983</v>
      </c>
    </row>
    <row r="21" ht="12.75">
      <c r="A21" s="683" t="s">
        <v>984</v>
      </c>
    </row>
    <row r="23" spans="1:4" ht="12.75">
      <c r="A23" s="624"/>
      <c r="B23" s="686"/>
      <c r="C23" s="624"/>
      <c r="D23" s="624"/>
    </row>
  </sheetData>
  <sheetProtection password="BC6F" sheet="1"/>
  <mergeCells count="2">
    <mergeCell ref="F3:K3"/>
    <mergeCell ref="A2:L2"/>
  </mergeCells>
  <conditionalFormatting sqref="A2">
    <cfRule type="expression" priority="1" dxfId="0" stopIfTrue="1">
      <formula>$A$2&lt;&gt;""</formula>
    </cfRule>
  </conditionalFormatting>
  <conditionalFormatting sqref="E5:E7 E10:E17">
    <cfRule type="expression" priority="3" dxfId="0" stopIfTrue="1">
      <formula>AND(B5="y",N5="n")</formula>
    </cfRule>
  </conditionalFormatting>
  <dataValidations count="2">
    <dataValidation type="decimal" allowBlank="1" showInputMessage="1" showErrorMessage="1" promptTitle="Input cell" prompt="Use digits and decimal mark only." errorTitle="Input error" error="Use digits and decimal mark only." sqref="C5:C7 C10:C17">
      <formula1>-99999999999999900000000</formula1>
      <formula2>9.99999999999999E+22</formula2>
    </dataValidation>
    <dataValidation type="list" allowBlank="1" showInputMessage="1" showErrorMessage="1" errorTitle="Input error" error="Enter only y, n or ? (or translation of these)" sqref="B5:B7 B10:B17">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74" r:id="rId1"/>
  <headerFooter>
    <oddFooter>&amp;L&amp;A
Printed &amp;D</oddFooter>
  </headerFooter>
</worksheet>
</file>

<file path=xl/worksheets/sheet8.xml><?xml version="1.0" encoding="utf-8"?>
<worksheet xmlns="http://schemas.openxmlformats.org/spreadsheetml/2006/main" xmlns:r="http://schemas.openxmlformats.org/officeDocument/2006/relationships">
  <dimension ref="A1:AB77"/>
  <sheetViews>
    <sheetView zoomScalePageLayoutView="0" workbookViewId="0" topLeftCell="A1">
      <selection activeCell="F24" sqref="F24"/>
    </sheetView>
  </sheetViews>
  <sheetFormatPr defaultColWidth="9.140625" defaultRowHeight="12.75"/>
  <cols>
    <col min="1" max="1" width="3.00390625" style="0" customWidth="1"/>
    <col min="2" max="2" width="6.140625" style="0" customWidth="1"/>
    <col min="3" max="3" width="40.00390625" style="0" customWidth="1"/>
    <col min="4" max="4" width="7.28125" style="0" customWidth="1"/>
    <col min="5" max="5" width="14.421875" style="0" customWidth="1"/>
    <col min="6" max="6" width="20.7109375" style="0" customWidth="1"/>
    <col min="7" max="7" width="10.28125" style="0" customWidth="1"/>
    <col min="8" max="8" width="9.421875" style="0" customWidth="1"/>
    <col min="9" max="9" width="12.57421875" style="0" customWidth="1"/>
    <col min="10" max="10" width="19.140625" style="0" customWidth="1"/>
    <col min="11" max="11" width="11.28125" style="0" customWidth="1"/>
    <col min="12" max="12" width="11.57421875" style="0" customWidth="1"/>
    <col min="13" max="13" width="21.140625" style="13" customWidth="1"/>
    <col min="14" max="14" width="9.140625" style="242" customWidth="1"/>
    <col min="16" max="16" width="5.421875" style="0" customWidth="1"/>
    <col min="17" max="17" width="5.28125" style="0" customWidth="1"/>
    <col min="18" max="18" width="5.00390625" style="0" customWidth="1"/>
    <col min="19" max="19" width="8.421875" style="0" customWidth="1"/>
    <col min="21" max="21" width="17.57421875" style="0" customWidth="1"/>
    <col min="22" max="22" width="12.57421875" style="0" customWidth="1"/>
    <col min="24" max="24" width="9.7109375" style="0" customWidth="1"/>
    <col min="25" max="25" width="11.140625" style="0" customWidth="1"/>
    <col min="26" max="26" width="11.57421875" style="0" customWidth="1"/>
    <col min="27" max="27" width="17.00390625" style="0" customWidth="1"/>
    <col min="28" max="28" width="63.421875" style="0" customWidth="1"/>
  </cols>
  <sheetData>
    <row r="1" spans="1:14" ht="18">
      <c r="A1" s="1" t="s">
        <v>34</v>
      </c>
      <c r="L1" s="48"/>
      <c r="M1" s="48"/>
      <c r="N1" s="232"/>
    </row>
    <row r="2" spans="1:14" ht="15">
      <c r="A2" s="54" t="s">
        <v>322</v>
      </c>
      <c r="L2" s="48"/>
      <c r="M2" s="48"/>
      <c r="N2" s="232"/>
    </row>
    <row r="3" spans="4:28" s="5" customFormat="1" ht="12.75">
      <c r="D3" s="7"/>
      <c r="E3" s="7"/>
      <c r="F3" s="7"/>
      <c r="G3" s="7"/>
      <c r="H3" s="7"/>
      <c r="I3" s="7"/>
      <c r="J3" s="7"/>
      <c r="K3" s="7"/>
      <c r="L3" s="30"/>
      <c r="M3" s="30"/>
      <c r="N3" s="257"/>
      <c r="O3" s="7"/>
      <c r="P3" s="65" t="s">
        <v>55</v>
      </c>
      <c r="Q3" s="65"/>
      <c r="R3" s="65"/>
      <c r="S3" s="65"/>
      <c r="T3" s="65"/>
      <c r="U3" s="65"/>
      <c r="V3" s="10" t="s">
        <v>54</v>
      </c>
      <c r="W3" s="103"/>
      <c r="X3" s="103"/>
      <c r="Y3" s="103"/>
      <c r="Z3" s="103"/>
      <c r="AA3" s="103"/>
      <c r="AB3" s="65"/>
    </row>
    <row r="4" spans="1:28" s="144" customFormat="1" ht="38.25">
      <c r="A4" s="144" t="s">
        <v>52</v>
      </c>
      <c r="B4" s="144" t="s">
        <v>50</v>
      </c>
      <c r="C4" s="134" t="s">
        <v>59</v>
      </c>
      <c r="D4" s="112" t="s">
        <v>159</v>
      </c>
      <c r="E4" s="134" t="s">
        <v>49</v>
      </c>
      <c r="F4" s="143" t="s">
        <v>35</v>
      </c>
      <c r="G4" s="112" t="s">
        <v>37</v>
      </c>
      <c r="H4" s="143" t="s">
        <v>35</v>
      </c>
      <c r="I4" s="112" t="s">
        <v>51</v>
      </c>
      <c r="J4" s="144" t="s">
        <v>35</v>
      </c>
      <c r="K4" s="84" t="s">
        <v>61</v>
      </c>
      <c r="L4" s="143" t="s">
        <v>35</v>
      </c>
      <c r="M4" s="126" t="s">
        <v>219</v>
      </c>
      <c r="N4" s="247" t="s">
        <v>94</v>
      </c>
      <c r="O4" s="143" t="s">
        <v>35</v>
      </c>
      <c r="P4" s="111" t="s">
        <v>38</v>
      </c>
      <c r="Q4" s="111" t="s">
        <v>39</v>
      </c>
      <c r="R4" s="111" t="s">
        <v>40</v>
      </c>
      <c r="S4" s="111" t="s">
        <v>41</v>
      </c>
      <c r="T4" s="112" t="s">
        <v>42</v>
      </c>
      <c r="U4" s="112" t="s">
        <v>237</v>
      </c>
      <c r="V4" s="56" t="s">
        <v>38</v>
      </c>
      <c r="W4" s="56" t="s">
        <v>39</v>
      </c>
      <c r="X4" s="56" t="s">
        <v>40</v>
      </c>
      <c r="Y4" s="56" t="s">
        <v>41</v>
      </c>
      <c r="Z4" s="57" t="s">
        <v>42</v>
      </c>
      <c r="AA4" s="57" t="s">
        <v>237</v>
      </c>
      <c r="AB4" s="111" t="s">
        <v>89</v>
      </c>
    </row>
    <row r="5" spans="1:28" s="129" customFormat="1" ht="25.5">
      <c r="A5" s="129" t="s">
        <v>151</v>
      </c>
      <c r="C5" s="134" t="s">
        <v>150</v>
      </c>
      <c r="D5" s="111"/>
      <c r="F5" s="128"/>
      <c r="G5" s="76"/>
      <c r="H5" s="128"/>
      <c r="I5" s="255"/>
      <c r="K5" s="113"/>
      <c r="L5" s="128"/>
      <c r="M5" s="123"/>
      <c r="N5" s="249"/>
      <c r="O5" s="128"/>
      <c r="P5" s="287"/>
      <c r="Q5" s="76"/>
      <c r="R5" s="76"/>
      <c r="S5" s="76"/>
      <c r="T5" s="76"/>
      <c r="U5" s="76"/>
      <c r="V5" s="58"/>
      <c r="W5" s="58"/>
      <c r="X5" s="58"/>
      <c r="Y5" s="58"/>
      <c r="Z5" s="58"/>
      <c r="AA5" s="58"/>
      <c r="AB5" s="76"/>
    </row>
    <row r="6" spans="2:28" ht="25.5">
      <c r="B6" t="s">
        <v>152</v>
      </c>
      <c r="C6" s="12" t="s">
        <v>153</v>
      </c>
      <c r="D6" s="111"/>
      <c r="G6" s="292"/>
      <c r="I6" s="293"/>
      <c r="K6" s="294">
        <f>K7</f>
        <v>0</v>
      </c>
      <c r="L6" s="28"/>
      <c r="M6" s="158" t="s">
        <v>160</v>
      </c>
      <c r="N6" s="249"/>
      <c r="O6" s="3"/>
      <c r="P6" s="76"/>
      <c r="Q6" s="76"/>
      <c r="R6" s="76"/>
      <c r="S6" s="76"/>
      <c r="T6" s="76"/>
      <c r="U6" s="76"/>
      <c r="V6" s="153">
        <f aca="true" t="shared" si="0" ref="V6:AA6">SUM(V7:V8)</f>
        <v>0</v>
      </c>
      <c r="W6" s="153">
        <f t="shared" si="0"/>
        <v>0</v>
      </c>
      <c r="X6" s="153">
        <f t="shared" si="0"/>
        <v>0</v>
      </c>
      <c r="Y6" s="153">
        <f t="shared" si="0"/>
        <v>0</v>
      </c>
      <c r="Z6" s="153">
        <f t="shared" si="0"/>
        <v>0</v>
      </c>
      <c r="AA6" s="153">
        <f t="shared" si="0"/>
        <v>0</v>
      </c>
      <c r="AB6" s="76"/>
    </row>
    <row r="7" spans="3:28" ht="51">
      <c r="C7" s="12"/>
      <c r="D7" s="111"/>
      <c r="E7" s="633" t="s">
        <v>944</v>
      </c>
      <c r="F7" s="298" t="s">
        <v>352</v>
      </c>
      <c r="G7" s="76">
        <v>100</v>
      </c>
      <c r="H7" s="128" t="s">
        <v>352</v>
      </c>
      <c r="I7" s="256">
        <f>'Step4-Industrial Hg use'!C5</f>
        <v>0</v>
      </c>
      <c r="J7" s="129" t="s">
        <v>341</v>
      </c>
      <c r="K7" s="170">
        <f>G7*I7/1000</f>
        <v>0</v>
      </c>
      <c r="L7" s="28" t="s">
        <v>36</v>
      </c>
      <c r="M7" s="159" t="s">
        <v>326</v>
      </c>
      <c r="N7" s="250"/>
      <c r="O7" s="3"/>
      <c r="P7" s="131">
        <v>0.1</v>
      </c>
      <c r="Q7" s="131">
        <v>0.01</v>
      </c>
      <c r="R7" s="131">
        <v>0.01</v>
      </c>
      <c r="S7" s="131">
        <v>0.01</v>
      </c>
      <c r="T7" s="131"/>
      <c r="U7" s="131">
        <v>0.87</v>
      </c>
      <c r="V7" s="114">
        <f aca="true" t="shared" si="1" ref="V7:AA7">$N7*P7</f>
        <v>0</v>
      </c>
      <c r="W7" s="114">
        <f t="shared" si="1"/>
        <v>0</v>
      </c>
      <c r="X7" s="114">
        <f t="shared" si="1"/>
        <v>0</v>
      </c>
      <c r="Y7" s="114">
        <f t="shared" si="1"/>
        <v>0</v>
      </c>
      <c r="Z7" s="114">
        <f t="shared" si="1"/>
        <v>0</v>
      </c>
      <c r="AA7" s="114">
        <f t="shared" si="1"/>
        <v>0</v>
      </c>
      <c r="AB7" s="76"/>
    </row>
    <row r="8" spans="3:28" ht="25.5">
      <c r="C8" s="9"/>
      <c r="D8" s="76"/>
      <c r="E8" s="290"/>
      <c r="F8" s="128"/>
      <c r="G8" s="76"/>
      <c r="H8" s="128"/>
      <c r="I8" s="256"/>
      <c r="J8" s="299"/>
      <c r="K8" s="295"/>
      <c r="L8" s="28"/>
      <c r="M8" s="159" t="s">
        <v>327</v>
      </c>
      <c r="N8" s="250">
        <f>K7</f>
        <v>0</v>
      </c>
      <c r="O8" s="3"/>
      <c r="P8" s="288">
        <v>0.2</v>
      </c>
      <c r="Q8" s="288">
        <v>0.02</v>
      </c>
      <c r="R8" s="288">
        <v>0.38</v>
      </c>
      <c r="S8" s="288">
        <v>0.1</v>
      </c>
      <c r="T8" s="288"/>
      <c r="U8" s="288">
        <v>0.3</v>
      </c>
      <c r="V8" s="114">
        <f aca="true" t="shared" si="2" ref="V8:V14">$N8*P8</f>
        <v>0</v>
      </c>
      <c r="W8" s="114">
        <f aca="true" t="shared" si="3" ref="W8:W14">$N8*Q8</f>
        <v>0</v>
      </c>
      <c r="X8" s="114">
        <f aca="true" t="shared" si="4" ref="X8:X14">$N8*R8</f>
        <v>0</v>
      </c>
      <c r="Y8" s="114">
        <f aca="true" t="shared" si="5" ref="Y8:Y14">$N8*S8</f>
        <v>0</v>
      </c>
      <c r="Z8" s="114">
        <f aca="true" t="shared" si="6" ref="Z8:Z14">$N8*T8</f>
        <v>0</v>
      </c>
      <c r="AA8" s="114">
        <f aca="true" t="shared" si="7" ref="AA8:AA14">$N8*U8</f>
        <v>0</v>
      </c>
      <c r="AB8" s="76"/>
    </row>
    <row r="9" spans="3:28" s="55" customFormat="1" ht="12.75">
      <c r="C9" s="105"/>
      <c r="D9" s="76"/>
      <c r="G9" s="119"/>
      <c r="I9" s="296"/>
      <c r="K9" s="113"/>
      <c r="M9" s="160"/>
      <c r="N9" s="250"/>
      <c r="O9" s="104"/>
      <c r="P9" s="76"/>
      <c r="Q9" s="76"/>
      <c r="R9" s="76"/>
      <c r="S9" s="76"/>
      <c r="T9" s="76"/>
      <c r="U9" s="76"/>
      <c r="V9" s="114"/>
      <c r="W9" s="114"/>
      <c r="X9" s="114"/>
      <c r="Y9" s="114"/>
      <c r="Z9" s="114"/>
      <c r="AA9" s="114"/>
      <c r="AB9" s="76"/>
    </row>
    <row r="10" spans="1:28" ht="12.75">
      <c r="A10" s="3"/>
      <c r="B10" s="3" t="s">
        <v>154</v>
      </c>
      <c r="C10" s="26" t="s">
        <v>156</v>
      </c>
      <c r="D10" s="111"/>
      <c r="E10" s="290" t="s">
        <v>155</v>
      </c>
      <c r="F10" s="128" t="s">
        <v>353</v>
      </c>
      <c r="G10" s="76">
        <v>120</v>
      </c>
      <c r="H10" s="128" t="s">
        <v>353</v>
      </c>
      <c r="I10" s="256">
        <f>'Step4-Industrial Hg use'!C6</f>
        <v>0</v>
      </c>
      <c r="J10" s="291" t="s">
        <v>467</v>
      </c>
      <c r="K10" s="170">
        <f>G10*I10/1000</f>
        <v>0</v>
      </c>
      <c r="L10" s="28" t="s">
        <v>36</v>
      </c>
      <c r="M10" s="158"/>
      <c r="N10" s="250">
        <f>K10</f>
        <v>0</v>
      </c>
      <c r="O10" s="3"/>
      <c r="P10" s="130">
        <v>0.02</v>
      </c>
      <c r="Q10" s="130">
        <v>0.02</v>
      </c>
      <c r="R10" s="130"/>
      <c r="S10" s="130">
        <v>0.36</v>
      </c>
      <c r="T10" s="130"/>
      <c r="U10" s="130">
        <v>0.6</v>
      </c>
      <c r="V10" s="114">
        <f t="shared" si="2"/>
        <v>0</v>
      </c>
      <c r="W10" s="114">
        <f t="shared" si="3"/>
        <v>0</v>
      </c>
      <c r="X10" s="114">
        <f t="shared" si="4"/>
        <v>0</v>
      </c>
      <c r="Y10" s="114">
        <f t="shared" si="5"/>
        <v>0</v>
      </c>
      <c r="Z10" s="114">
        <f t="shared" si="6"/>
        <v>0</v>
      </c>
      <c r="AA10" s="114">
        <f t="shared" si="7"/>
        <v>0</v>
      </c>
      <c r="AB10" s="76"/>
    </row>
    <row r="11" spans="1:28" s="55" customFormat="1" ht="12.75">
      <c r="A11" s="152"/>
      <c r="B11" s="104"/>
      <c r="C11" s="137"/>
      <c r="D11" s="111"/>
      <c r="E11" s="106"/>
      <c r="F11" s="104"/>
      <c r="G11" s="119"/>
      <c r="H11" s="104"/>
      <c r="I11" s="289"/>
      <c r="K11" s="170"/>
      <c r="L11" s="104"/>
      <c r="M11" s="161"/>
      <c r="N11" s="250"/>
      <c r="O11" s="104"/>
      <c r="P11" s="76"/>
      <c r="Q11" s="76"/>
      <c r="R11" s="76"/>
      <c r="S11" s="76"/>
      <c r="T11" s="76"/>
      <c r="U11" s="76"/>
      <c r="V11" s="114"/>
      <c r="W11" s="114"/>
      <c r="X11" s="114"/>
      <c r="Y11" s="114"/>
      <c r="Z11" s="114"/>
      <c r="AA11" s="114"/>
      <c r="AB11" s="76"/>
    </row>
    <row r="12" spans="2:28" s="3" customFormat="1" ht="25.5">
      <c r="B12" s="36" t="s">
        <v>399</v>
      </c>
      <c r="C12" s="26" t="s">
        <v>157</v>
      </c>
      <c r="D12" s="111"/>
      <c r="E12" s="297" t="s">
        <v>43</v>
      </c>
      <c r="F12" s="128" t="s">
        <v>43</v>
      </c>
      <c r="G12" s="287">
        <v>120</v>
      </c>
      <c r="H12" s="298" t="s">
        <v>466</v>
      </c>
      <c r="I12" s="256">
        <f>'Step4-Industrial Hg use'!C7</f>
        <v>0</v>
      </c>
      <c r="J12" s="291" t="s">
        <v>468</v>
      </c>
      <c r="K12" s="170">
        <f>G12*I12/1000</f>
        <v>0</v>
      </c>
      <c r="L12" s="28" t="s">
        <v>36</v>
      </c>
      <c r="M12" s="158"/>
      <c r="N12" s="250">
        <f>K12</f>
        <v>0</v>
      </c>
      <c r="P12" s="344">
        <v>0.02</v>
      </c>
      <c r="Q12" s="344">
        <v>0.02</v>
      </c>
      <c r="R12" s="344"/>
      <c r="S12" s="344">
        <v>0.36</v>
      </c>
      <c r="T12" s="344"/>
      <c r="U12" s="344">
        <v>0.6</v>
      </c>
      <c r="V12" s="114">
        <f t="shared" si="2"/>
        <v>0</v>
      </c>
      <c r="W12" s="114">
        <f t="shared" si="3"/>
        <v>0</v>
      </c>
      <c r="X12" s="114">
        <f t="shared" si="4"/>
        <v>0</v>
      </c>
      <c r="Y12" s="114">
        <f t="shared" si="5"/>
        <v>0</v>
      </c>
      <c r="Z12" s="114">
        <f t="shared" si="6"/>
        <v>0</v>
      </c>
      <c r="AA12" s="114">
        <f t="shared" si="7"/>
        <v>0</v>
      </c>
      <c r="AB12" s="76"/>
    </row>
    <row r="13" spans="1:28" s="104" customFormat="1" ht="12.75">
      <c r="A13" s="139"/>
      <c r="C13" s="137"/>
      <c r="D13" s="111"/>
      <c r="G13" s="119"/>
      <c r="I13" s="296"/>
      <c r="K13" s="121"/>
      <c r="M13" s="160"/>
      <c r="N13" s="250"/>
      <c r="P13" s="76"/>
      <c r="Q13" s="76"/>
      <c r="R13" s="76"/>
      <c r="S13" s="76"/>
      <c r="T13" s="76"/>
      <c r="U13" s="76"/>
      <c r="V13" s="114"/>
      <c r="W13" s="114"/>
      <c r="X13" s="114"/>
      <c r="Y13" s="114"/>
      <c r="Z13" s="114"/>
      <c r="AA13" s="114"/>
      <c r="AB13" s="76"/>
    </row>
    <row r="14" spans="2:28" s="128" customFormat="1" ht="25.5">
      <c r="B14" s="298" t="s">
        <v>400</v>
      </c>
      <c r="C14" s="151" t="s">
        <v>158</v>
      </c>
      <c r="D14" s="111"/>
      <c r="E14" s="128" t="s">
        <v>43</v>
      </c>
      <c r="F14" s="128" t="s">
        <v>43</v>
      </c>
      <c r="G14" s="76" t="s">
        <v>43</v>
      </c>
      <c r="H14" s="128" t="s">
        <v>43</v>
      </c>
      <c r="I14" s="255" t="s">
        <v>43</v>
      </c>
      <c r="J14" s="128" t="s">
        <v>43</v>
      </c>
      <c r="K14" s="113" t="s">
        <v>43</v>
      </c>
      <c r="L14" s="128" t="s">
        <v>36</v>
      </c>
      <c r="M14" s="123"/>
      <c r="N14" s="250"/>
      <c r="P14" s="76" t="s">
        <v>43</v>
      </c>
      <c r="Q14" s="76" t="s">
        <v>43</v>
      </c>
      <c r="R14" s="76" t="s">
        <v>43</v>
      </c>
      <c r="S14" s="76" t="s">
        <v>43</v>
      </c>
      <c r="T14" s="76" t="s">
        <v>43</v>
      </c>
      <c r="U14" s="76" t="s">
        <v>43</v>
      </c>
      <c r="V14" s="114" t="e">
        <f t="shared" si="2"/>
        <v>#VALUE!</v>
      </c>
      <c r="W14" s="114" t="e">
        <f t="shared" si="3"/>
        <v>#VALUE!</v>
      </c>
      <c r="X14" s="114" t="e">
        <f t="shared" si="4"/>
        <v>#VALUE!</v>
      </c>
      <c r="Y14" s="114" t="e">
        <f t="shared" si="5"/>
        <v>#VALUE!</v>
      </c>
      <c r="Z14" s="114" t="e">
        <f t="shared" si="6"/>
        <v>#VALUE!</v>
      </c>
      <c r="AA14" s="114" t="e">
        <f t="shared" si="7"/>
        <v>#VALUE!</v>
      </c>
      <c r="AB14" s="76"/>
    </row>
    <row r="15" spans="3:27" s="3" customFormat="1" ht="12.75">
      <c r="C15" s="3" t="s">
        <v>290</v>
      </c>
      <c r="E15" s="11"/>
      <c r="I15" s="20"/>
      <c r="K15" s="21"/>
      <c r="M15" s="28"/>
      <c r="N15" s="258"/>
      <c r="O15" s="28"/>
      <c r="P15" s="23"/>
      <c r="Q15" s="23"/>
      <c r="R15" s="24"/>
      <c r="S15" s="24"/>
      <c r="T15" s="23"/>
      <c r="V15" s="22"/>
      <c r="W15" s="22"/>
      <c r="X15" s="22"/>
      <c r="Y15" s="22"/>
      <c r="Z15" s="22"/>
      <c r="AA15" s="22"/>
    </row>
    <row r="16" spans="3:27" s="3" customFormat="1" ht="12.75">
      <c r="C16" s="36" t="s">
        <v>359</v>
      </c>
      <c r="E16" s="11"/>
      <c r="I16" s="20"/>
      <c r="K16" s="21"/>
      <c r="M16" s="28"/>
      <c r="N16" s="258"/>
      <c r="O16" s="28"/>
      <c r="P16" s="23"/>
      <c r="Q16" s="23"/>
      <c r="R16" s="24"/>
      <c r="S16" s="24"/>
      <c r="T16" s="23"/>
      <c r="V16" s="22"/>
      <c r="W16" s="22"/>
      <c r="X16" s="22"/>
      <c r="Y16" s="22"/>
      <c r="Z16" s="22"/>
      <c r="AA16" s="22"/>
    </row>
    <row r="17" spans="3:27" s="3" customFormat="1" ht="12.75">
      <c r="C17" s="36" t="s">
        <v>329</v>
      </c>
      <c r="E17" s="11"/>
      <c r="I17" s="20"/>
      <c r="K17" s="21"/>
      <c r="M17" s="30"/>
      <c r="N17" s="258"/>
      <c r="O17" s="28"/>
      <c r="P17" s="23"/>
      <c r="Q17" s="23"/>
      <c r="R17" s="24"/>
      <c r="S17" s="24"/>
      <c r="T17" s="23"/>
      <c r="V17" s="22"/>
      <c r="W17" s="22"/>
      <c r="X17" s="22"/>
      <c r="Y17" s="22"/>
      <c r="Z17" s="22"/>
      <c r="AA17" s="22"/>
    </row>
    <row r="18" spans="5:27" s="3" customFormat="1" ht="12.75">
      <c r="E18" s="11"/>
      <c r="I18" s="20"/>
      <c r="K18" s="21"/>
      <c r="M18" s="30"/>
      <c r="N18" s="258"/>
      <c r="O18" s="28"/>
      <c r="P18" s="23"/>
      <c r="Q18" s="23"/>
      <c r="R18" s="24"/>
      <c r="S18" s="24"/>
      <c r="T18" s="23"/>
      <c r="V18" s="22"/>
      <c r="W18" s="22"/>
      <c r="X18" s="22"/>
      <c r="Y18" s="22"/>
      <c r="Z18" s="22"/>
      <c r="AA18" s="22"/>
    </row>
    <row r="19" spans="5:27" s="3" customFormat="1" ht="12.75">
      <c r="E19" s="11"/>
      <c r="I19" s="20"/>
      <c r="K19" s="21"/>
      <c r="M19" s="31"/>
      <c r="N19" s="258"/>
      <c r="O19" s="28"/>
      <c r="P19" s="23"/>
      <c r="Q19" s="23"/>
      <c r="R19" s="24"/>
      <c r="S19" s="24"/>
      <c r="T19" s="23"/>
      <c r="V19" s="22"/>
      <c r="W19" s="22"/>
      <c r="X19" s="22"/>
      <c r="Y19" s="22"/>
      <c r="Z19" s="22"/>
      <c r="AA19" s="22"/>
    </row>
    <row r="20" spans="3:27" s="3" customFormat="1" ht="12.75">
      <c r="C20" s="7"/>
      <c r="D20" s="7"/>
      <c r="E20" s="11"/>
      <c r="I20" s="20"/>
      <c r="K20" s="21"/>
      <c r="M20" s="29"/>
      <c r="N20" s="258"/>
      <c r="O20" s="28"/>
      <c r="P20" s="23"/>
      <c r="Q20" s="23"/>
      <c r="R20" s="24"/>
      <c r="S20" s="24"/>
      <c r="T20" s="23"/>
      <c r="V20" s="25"/>
      <c r="W20" s="25"/>
      <c r="X20" s="25"/>
      <c r="Y20" s="25"/>
      <c r="Z20" s="25"/>
      <c r="AA20" s="25"/>
    </row>
    <row r="21" spans="3:27" s="3" customFormat="1" ht="12.75">
      <c r="C21" s="7"/>
      <c r="D21" s="7"/>
      <c r="E21" s="11"/>
      <c r="I21" s="20"/>
      <c r="K21" s="21"/>
      <c r="M21" s="29"/>
      <c r="N21" s="258"/>
      <c r="O21" s="28"/>
      <c r="P21" s="23"/>
      <c r="Q21" s="23"/>
      <c r="R21" s="24"/>
      <c r="S21" s="24"/>
      <c r="T21" s="23"/>
      <c r="V21" s="22"/>
      <c r="W21" s="22"/>
      <c r="X21" s="22"/>
      <c r="Y21" s="22"/>
      <c r="Z21" s="22"/>
      <c r="AA21" s="22"/>
    </row>
    <row r="22" spans="3:27" s="3" customFormat="1" ht="12.75">
      <c r="C22" s="7"/>
      <c r="D22" s="7"/>
      <c r="E22" s="11"/>
      <c r="I22" s="20"/>
      <c r="K22" s="22"/>
      <c r="M22" s="29"/>
      <c r="N22" s="258"/>
      <c r="O22" s="28"/>
      <c r="P22" s="23"/>
      <c r="Q22" s="23"/>
      <c r="R22" s="24"/>
      <c r="S22" s="24"/>
      <c r="T22" s="23"/>
      <c r="V22" s="22"/>
      <c r="W22" s="22"/>
      <c r="X22" s="22"/>
      <c r="Y22" s="22"/>
      <c r="Z22" s="22"/>
      <c r="AA22" s="22"/>
    </row>
    <row r="23" spans="5:27" s="3" customFormat="1" ht="12.75">
      <c r="E23" s="11"/>
      <c r="I23" s="20"/>
      <c r="K23" s="22"/>
      <c r="M23" s="29"/>
      <c r="N23" s="258"/>
      <c r="O23" s="28"/>
      <c r="P23" s="23"/>
      <c r="Q23" s="23"/>
      <c r="R23" s="24"/>
      <c r="S23" s="24"/>
      <c r="T23" s="23"/>
      <c r="V23" s="22"/>
      <c r="W23" s="22"/>
      <c r="X23" s="22"/>
      <c r="Y23" s="22"/>
      <c r="Z23" s="22"/>
      <c r="AA23" s="22"/>
    </row>
    <row r="24" spans="5:27" s="3" customFormat="1" ht="12.75">
      <c r="E24" s="11"/>
      <c r="I24" s="20"/>
      <c r="K24" s="22"/>
      <c r="M24" s="30"/>
      <c r="N24" s="258"/>
      <c r="O24" s="28"/>
      <c r="P24" s="23"/>
      <c r="Q24" s="23"/>
      <c r="R24" s="24"/>
      <c r="S24" s="24"/>
      <c r="T24" s="23"/>
      <c r="V24" s="22"/>
      <c r="W24" s="22"/>
      <c r="X24" s="22"/>
      <c r="Y24" s="22"/>
      <c r="Z24" s="22"/>
      <c r="AA24" s="22"/>
    </row>
    <row r="25" spans="5:27" s="3" customFormat="1" ht="12.75">
      <c r="E25" s="11"/>
      <c r="I25" s="20"/>
      <c r="K25" s="22"/>
      <c r="M25" s="30"/>
      <c r="N25" s="258"/>
      <c r="O25" s="28"/>
      <c r="P25" s="23"/>
      <c r="Q25" s="23"/>
      <c r="R25" s="24"/>
      <c r="S25" s="24"/>
      <c r="T25" s="23"/>
      <c r="V25" s="22"/>
      <c r="W25" s="22"/>
      <c r="X25" s="22"/>
      <c r="Y25" s="22"/>
      <c r="Z25" s="22"/>
      <c r="AA25" s="22"/>
    </row>
    <row r="26" spans="3:27" s="3" customFormat="1" ht="12.75">
      <c r="C26" s="7"/>
      <c r="D26" s="7"/>
      <c r="E26" s="11"/>
      <c r="I26" s="20"/>
      <c r="K26" s="22"/>
      <c r="M26" s="31"/>
      <c r="N26" s="258"/>
      <c r="O26" s="28"/>
      <c r="P26" s="23"/>
      <c r="Q26" s="23"/>
      <c r="R26" s="24"/>
      <c r="S26" s="24"/>
      <c r="T26" s="23"/>
      <c r="V26" s="22"/>
      <c r="W26" s="22"/>
      <c r="X26" s="22"/>
      <c r="Y26" s="22"/>
      <c r="Z26" s="22"/>
      <c r="AA26" s="22"/>
    </row>
    <row r="27" spans="3:27" s="3" customFormat="1" ht="12.75">
      <c r="C27" s="26"/>
      <c r="D27" s="26"/>
      <c r="E27" s="11"/>
      <c r="I27" s="20"/>
      <c r="K27" s="22"/>
      <c r="M27" s="29"/>
      <c r="N27" s="258"/>
      <c r="O27" s="28"/>
      <c r="P27" s="23"/>
      <c r="Q27" s="23"/>
      <c r="R27" s="24"/>
      <c r="S27" s="24"/>
      <c r="T27" s="23"/>
      <c r="V27" s="22"/>
      <c r="W27" s="22"/>
      <c r="X27" s="22"/>
      <c r="Y27" s="22"/>
      <c r="Z27" s="22"/>
      <c r="AA27" s="22"/>
    </row>
    <row r="28" spans="5:27" s="3" customFormat="1" ht="12.75">
      <c r="E28" s="11"/>
      <c r="I28" s="20"/>
      <c r="K28" s="22"/>
      <c r="M28" s="29"/>
      <c r="N28" s="258"/>
      <c r="O28" s="28"/>
      <c r="P28" s="23"/>
      <c r="Q28" s="23"/>
      <c r="R28" s="24"/>
      <c r="S28" s="24"/>
      <c r="T28" s="23"/>
      <c r="V28" s="22"/>
      <c r="W28" s="22"/>
      <c r="X28" s="22"/>
      <c r="Y28" s="22"/>
      <c r="Z28" s="22"/>
      <c r="AA28" s="22"/>
    </row>
    <row r="29" spans="5:27" s="3" customFormat="1" ht="12.75">
      <c r="E29" s="11"/>
      <c r="I29" s="20"/>
      <c r="K29" s="22"/>
      <c r="M29" s="29"/>
      <c r="N29" s="258"/>
      <c r="O29" s="28"/>
      <c r="P29" s="23"/>
      <c r="Q29" s="23"/>
      <c r="R29" s="24"/>
      <c r="S29" s="24"/>
      <c r="T29" s="23"/>
      <c r="V29" s="22"/>
      <c r="W29" s="22"/>
      <c r="X29" s="22"/>
      <c r="Y29" s="22"/>
      <c r="Z29" s="22"/>
      <c r="AA29" s="22"/>
    </row>
    <row r="30" spans="5:27" s="3" customFormat="1" ht="12.75">
      <c r="E30" s="11"/>
      <c r="I30" s="20"/>
      <c r="K30" s="22"/>
      <c r="M30" s="28"/>
      <c r="N30" s="258"/>
      <c r="O30" s="28"/>
      <c r="P30" s="23"/>
      <c r="Q30" s="23"/>
      <c r="R30" s="24"/>
      <c r="S30" s="24"/>
      <c r="T30" s="23"/>
      <c r="V30" s="22"/>
      <c r="W30" s="22"/>
      <c r="X30" s="22"/>
      <c r="Y30" s="22"/>
      <c r="Z30" s="22"/>
      <c r="AA30" s="22"/>
    </row>
    <row r="31" spans="5:27" s="3" customFormat="1" ht="12.75">
      <c r="E31" s="11"/>
      <c r="I31" s="20"/>
      <c r="K31" s="21"/>
      <c r="M31" s="29"/>
      <c r="N31" s="258"/>
      <c r="O31" s="28"/>
      <c r="P31" s="23"/>
      <c r="Q31" s="23"/>
      <c r="R31" s="24"/>
      <c r="S31" s="24"/>
      <c r="T31" s="23"/>
      <c r="V31" s="22"/>
      <c r="W31" s="22"/>
      <c r="X31" s="22"/>
      <c r="Y31" s="22"/>
      <c r="Z31" s="22"/>
      <c r="AA31" s="22"/>
    </row>
    <row r="32" spans="5:27" s="3" customFormat="1" ht="12.75">
      <c r="E32" s="11"/>
      <c r="I32" s="20"/>
      <c r="K32" s="21"/>
      <c r="M32" s="29"/>
      <c r="N32" s="258"/>
      <c r="O32" s="28"/>
      <c r="P32" s="23"/>
      <c r="Q32" s="23"/>
      <c r="R32" s="24"/>
      <c r="S32" s="24"/>
      <c r="T32" s="23"/>
      <c r="V32" s="22"/>
      <c r="W32" s="22"/>
      <c r="X32" s="22"/>
      <c r="Y32" s="22"/>
      <c r="Z32" s="22"/>
      <c r="AA32" s="22"/>
    </row>
    <row r="33" spans="3:27" s="3" customFormat="1" ht="12.75">
      <c r="C33" s="7"/>
      <c r="D33" s="7"/>
      <c r="E33" s="11"/>
      <c r="I33" s="20"/>
      <c r="K33" s="21"/>
      <c r="M33" s="29"/>
      <c r="N33" s="258"/>
      <c r="O33" s="28"/>
      <c r="P33" s="23"/>
      <c r="Q33" s="23"/>
      <c r="R33" s="24"/>
      <c r="S33" s="24"/>
      <c r="T33" s="23"/>
      <c r="V33" s="25"/>
      <c r="W33" s="25"/>
      <c r="X33" s="25"/>
      <c r="Y33" s="25"/>
      <c r="Z33" s="25"/>
      <c r="AA33" s="25"/>
    </row>
    <row r="34" spans="3:27" s="3" customFormat="1" ht="12.75">
      <c r="C34" s="7"/>
      <c r="D34" s="7"/>
      <c r="E34" s="11"/>
      <c r="I34" s="20"/>
      <c r="K34" s="21"/>
      <c r="M34" s="30"/>
      <c r="N34" s="258"/>
      <c r="O34" s="28"/>
      <c r="P34" s="23"/>
      <c r="Q34" s="23"/>
      <c r="R34" s="23"/>
      <c r="S34" s="23"/>
      <c r="T34" s="23"/>
      <c r="U34" s="23"/>
      <c r="V34" s="22"/>
      <c r="W34" s="22"/>
      <c r="X34" s="22"/>
      <c r="Y34" s="22"/>
      <c r="Z34" s="22"/>
      <c r="AA34" s="22"/>
    </row>
    <row r="35" spans="3:27" s="3" customFormat="1" ht="12.75">
      <c r="C35" s="7"/>
      <c r="D35" s="7"/>
      <c r="E35" s="11"/>
      <c r="I35" s="20"/>
      <c r="K35" s="21"/>
      <c r="M35" s="30"/>
      <c r="N35" s="258"/>
      <c r="O35" s="28"/>
      <c r="P35" s="23"/>
      <c r="Q35" s="23"/>
      <c r="R35" s="24"/>
      <c r="S35" s="24"/>
      <c r="T35" s="23"/>
      <c r="V35" s="22"/>
      <c r="W35" s="22"/>
      <c r="X35" s="22"/>
      <c r="Y35" s="22"/>
      <c r="Z35" s="22"/>
      <c r="AA35" s="22"/>
    </row>
    <row r="36" spans="3:27" s="3" customFormat="1" ht="12.75">
      <c r="C36" s="7"/>
      <c r="D36" s="7"/>
      <c r="E36" s="11"/>
      <c r="I36" s="20"/>
      <c r="K36" s="21"/>
      <c r="M36" s="29"/>
      <c r="N36" s="258"/>
      <c r="O36" s="28"/>
      <c r="P36" s="23"/>
      <c r="Q36" s="23"/>
      <c r="R36" s="24"/>
      <c r="S36" s="24"/>
      <c r="T36" s="23"/>
      <c r="V36" s="22"/>
      <c r="W36" s="22"/>
      <c r="X36" s="22"/>
      <c r="Y36" s="22"/>
      <c r="Z36" s="22"/>
      <c r="AA36" s="22"/>
    </row>
    <row r="37" spans="5:27" s="3" customFormat="1" ht="12.75">
      <c r="E37" s="11"/>
      <c r="I37" s="20"/>
      <c r="K37" s="21"/>
      <c r="M37" s="29"/>
      <c r="N37" s="258"/>
      <c r="O37" s="28"/>
      <c r="P37" s="23"/>
      <c r="Q37" s="23"/>
      <c r="R37" s="24"/>
      <c r="S37" s="24"/>
      <c r="T37" s="23"/>
      <c r="V37" s="22"/>
      <c r="W37" s="22"/>
      <c r="X37" s="22"/>
      <c r="Y37" s="22"/>
      <c r="Z37" s="22"/>
      <c r="AA37" s="22"/>
    </row>
    <row r="38" spans="5:27" s="3" customFormat="1" ht="12.75">
      <c r="E38" s="11"/>
      <c r="I38" s="20"/>
      <c r="K38" s="21"/>
      <c r="M38" s="29"/>
      <c r="N38" s="258"/>
      <c r="O38" s="28"/>
      <c r="P38" s="23"/>
      <c r="Q38" s="23"/>
      <c r="R38" s="24"/>
      <c r="S38" s="24"/>
      <c r="T38" s="23"/>
      <c r="V38" s="22"/>
      <c r="W38" s="22"/>
      <c r="X38" s="22"/>
      <c r="Y38" s="22"/>
      <c r="Z38" s="22"/>
      <c r="AA38" s="22"/>
    </row>
    <row r="39" spans="3:27" s="3" customFormat="1" ht="12.75">
      <c r="C39" s="7"/>
      <c r="D39" s="7"/>
      <c r="E39" s="11"/>
      <c r="I39" s="20"/>
      <c r="K39" s="21"/>
      <c r="M39" s="28"/>
      <c r="N39" s="258"/>
      <c r="O39" s="28"/>
      <c r="P39" s="23"/>
      <c r="Q39" s="23"/>
      <c r="R39" s="24"/>
      <c r="S39" s="24"/>
      <c r="T39" s="23"/>
      <c r="V39" s="25"/>
      <c r="W39" s="25"/>
      <c r="X39" s="25"/>
      <c r="Y39" s="25"/>
      <c r="Z39" s="25"/>
      <c r="AA39" s="25"/>
    </row>
    <row r="40" spans="3:27" s="3" customFormat="1" ht="12.75">
      <c r="C40" s="7"/>
      <c r="D40" s="7"/>
      <c r="E40" s="11"/>
      <c r="I40" s="20"/>
      <c r="K40" s="21"/>
      <c r="M40" s="28"/>
      <c r="N40" s="258"/>
      <c r="O40" s="28"/>
      <c r="P40" s="23"/>
      <c r="Q40" s="23"/>
      <c r="R40" s="24"/>
      <c r="S40" s="24"/>
      <c r="T40" s="23"/>
      <c r="V40" s="22"/>
      <c r="W40" s="22"/>
      <c r="X40" s="22"/>
      <c r="Y40" s="22"/>
      <c r="Z40" s="22"/>
      <c r="AA40" s="22"/>
    </row>
    <row r="41" spans="3:27" s="3" customFormat="1" ht="12.75">
      <c r="C41" s="7"/>
      <c r="D41" s="7"/>
      <c r="I41" s="19"/>
      <c r="M41" s="31"/>
      <c r="N41" s="258"/>
      <c r="O41" s="28"/>
      <c r="P41" s="23"/>
      <c r="Q41" s="23"/>
      <c r="R41" s="24"/>
      <c r="S41" s="24"/>
      <c r="T41" s="23"/>
      <c r="V41" s="22"/>
      <c r="W41" s="22"/>
      <c r="X41" s="22"/>
      <c r="Y41" s="22"/>
      <c r="Z41" s="22"/>
      <c r="AA41" s="22"/>
    </row>
    <row r="42" spans="3:15" s="3" customFormat="1" ht="12.75">
      <c r="C42" s="7"/>
      <c r="D42" s="7"/>
      <c r="I42" s="19"/>
      <c r="M42" s="29"/>
      <c r="N42" s="258"/>
      <c r="O42" s="28"/>
    </row>
    <row r="43" spans="9:15" s="3" customFormat="1" ht="12.75">
      <c r="I43" s="19"/>
      <c r="M43" s="29"/>
      <c r="N43" s="258"/>
      <c r="O43" s="28"/>
    </row>
    <row r="44" spans="9:15" s="3" customFormat="1" ht="12.75">
      <c r="I44" s="19"/>
      <c r="M44" s="29"/>
      <c r="N44" s="258"/>
      <c r="O44" s="28"/>
    </row>
    <row r="45" spans="3:15" s="3" customFormat="1" ht="12.75">
      <c r="C45" s="7"/>
      <c r="D45" s="7"/>
      <c r="I45" s="19"/>
      <c r="M45" s="28"/>
      <c r="N45" s="258"/>
      <c r="O45" s="28"/>
    </row>
    <row r="46" spans="9:15" s="3" customFormat="1" ht="12.75">
      <c r="I46" s="19"/>
      <c r="M46" s="28"/>
      <c r="N46" s="258"/>
      <c r="O46" s="28"/>
    </row>
    <row r="47" spans="9:15" s="3" customFormat="1" ht="12.75">
      <c r="I47" s="19"/>
      <c r="M47" s="28"/>
      <c r="N47" s="258"/>
      <c r="O47" s="28"/>
    </row>
    <row r="48" spans="9:15" s="3" customFormat="1" ht="12.75">
      <c r="I48" s="19"/>
      <c r="M48" s="30"/>
      <c r="N48" s="258"/>
      <c r="O48" s="28"/>
    </row>
    <row r="49" spans="3:15" s="3" customFormat="1" ht="12.75">
      <c r="C49" s="7"/>
      <c r="D49" s="7"/>
      <c r="I49" s="19"/>
      <c r="M49" s="30"/>
      <c r="N49" s="258"/>
      <c r="O49" s="28"/>
    </row>
    <row r="50" spans="9:15" s="3" customFormat="1" ht="12.75">
      <c r="I50" s="19"/>
      <c r="M50" s="31"/>
      <c r="N50" s="258"/>
      <c r="O50" s="28"/>
    </row>
    <row r="51" spans="9:15" s="3" customFormat="1" ht="12.75">
      <c r="I51" s="19"/>
      <c r="M51" s="31"/>
      <c r="N51" s="258"/>
      <c r="O51" s="28"/>
    </row>
    <row r="52" spans="9:15" s="3" customFormat="1" ht="12.75">
      <c r="I52" s="19"/>
      <c r="M52" s="30"/>
      <c r="N52" s="258"/>
      <c r="O52" s="28"/>
    </row>
    <row r="53" spans="9:15" s="3" customFormat="1" ht="12.75">
      <c r="I53" s="19"/>
      <c r="M53" s="30"/>
      <c r="N53" s="258"/>
      <c r="O53" s="28"/>
    </row>
    <row r="54" spans="9:15" s="3" customFormat="1" ht="12.75">
      <c r="I54" s="19"/>
      <c r="M54" s="31"/>
      <c r="N54" s="258"/>
      <c r="O54" s="17"/>
    </row>
    <row r="55" spans="9:15" s="3" customFormat="1" ht="12.75">
      <c r="I55" s="19"/>
      <c r="M55" s="31"/>
      <c r="N55" s="258"/>
      <c r="O55" s="28"/>
    </row>
    <row r="56" spans="9:15" s="3" customFormat="1" ht="12.75">
      <c r="I56" s="19"/>
      <c r="M56" s="30"/>
      <c r="N56" s="258"/>
      <c r="O56" s="28"/>
    </row>
    <row r="57" spans="9:15" s="3" customFormat="1" ht="12.75">
      <c r="I57" s="19"/>
      <c r="M57" s="30"/>
      <c r="N57" s="258"/>
      <c r="O57" s="28"/>
    </row>
    <row r="58" spans="9:15" s="3" customFormat="1" ht="12.75">
      <c r="I58" s="19"/>
      <c r="M58" s="31"/>
      <c r="N58" s="258"/>
      <c r="O58" s="17"/>
    </row>
    <row r="59" spans="9:15" s="3" customFormat="1" ht="12.75">
      <c r="I59" s="19"/>
      <c r="M59" s="31"/>
      <c r="N59" s="259"/>
      <c r="O59" s="28"/>
    </row>
    <row r="60" spans="9:15" s="3" customFormat="1" ht="12.75">
      <c r="I60" s="19"/>
      <c r="M60" s="31"/>
      <c r="N60" s="259"/>
      <c r="O60" s="28"/>
    </row>
    <row r="61" spans="9:15" s="3" customFormat="1" ht="12.75">
      <c r="I61" s="19"/>
      <c r="M61" s="31"/>
      <c r="N61" s="259"/>
      <c r="O61" s="28"/>
    </row>
    <row r="62" spans="9:15" s="3" customFormat="1" ht="12.75">
      <c r="I62" s="19"/>
      <c r="M62" s="31"/>
      <c r="N62" s="259"/>
      <c r="O62" s="28"/>
    </row>
    <row r="63" spans="9:15" s="3" customFormat="1" ht="12.75">
      <c r="I63" s="19"/>
      <c r="M63" s="31"/>
      <c r="N63" s="259"/>
      <c r="O63" s="28"/>
    </row>
    <row r="64" spans="9:15" s="3" customFormat="1" ht="12.75">
      <c r="I64" s="19"/>
      <c r="M64" s="31"/>
      <c r="N64" s="259"/>
      <c r="O64" s="28"/>
    </row>
    <row r="65" spans="9:15" s="3" customFormat="1" ht="12.75">
      <c r="I65" s="19"/>
      <c r="M65" s="31"/>
      <c r="N65" s="259"/>
      <c r="O65" s="28"/>
    </row>
    <row r="66" spans="13:15" s="3" customFormat="1" ht="12.75">
      <c r="M66" s="31"/>
      <c r="N66" s="259"/>
      <c r="O66" s="28"/>
    </row>
    <row r="67" spans="13:15" s="3" customFormat="1" ht="12.75">
      <c r="M67" s="29"/>
      <c r="N67" s="259"/>
      <c r="O67" s="28"/>
    </row>
    <row r="68" spans="13:15" s="3" customFormat="1" ht="12.75">
      <c r="M68" s="29"/>
      <c r="N68" s="259"/>
      <c r="O68" s="28"/>
    </row>
    <row r="69" spans="3:15" s="3" customFormat="1" ht="12.75">
      <c r="C69" s="7"/>
      <c r="D69" s="7"/>
      <c r="M69" s="29"/>
      <c r="N69" s="259"/>
      <c r="O69" s="28"/>
    </row>
    <row r="70" spans="13:15" s="3" customFormat="1" ht="12.75">
      <c r="M70" s="28"/>
      <c r="N70" s="259"/>
      <c r="O70" s="28"/>
    </row>
    <row r="71" spans="13:15" s="3" customFormat="1" ht="12.75">
      <c r="M71" s="28"/>
      <c r="N71" s="259"/>
      <c r="O71" s="28"/>
    </row>
    <row r="72" spans="13:15" ht="12.75">
      <c r="M72" s="28"/>
      <c r="N72" s="259"/>
      <c r="O72" s="28"/>
    </row>
    <row r="73" spans="13:15" ht="12.75">
      <c r="M73" s="30"/>
      <c r="N73" s="259"/>
      <c r="O73" s="28"/>
    </row>
    <row r="74" spans="13:15" ht="12.75">
      <c r="M74" s="30"/>
      <c r="N74" s="258"/>
      <c r="O74" s="28"/>
    </row>
    <row r="75" spans="13:15" ht="12.75">
      <c r="M75" s="28"/>
      <c r="N75" s="259"/>
      <c r="O75" s="28"/>
    </row>
    <row r="76" spans="13:15" ht="12.75">
      <c r="M76" s="28"/>
      <c r="N76" s="259"/>
      <c r="O76" s="28"/>
    </row>
    <row r="77" spans="13:15" ht="12.75">
      <c r="M77" s="28"/>
      <c r="N77" s="259"/>
      <c r="O77" s="28"/>
    </row>
  </sheetData>
  <sheetProtection password="83AF" sheet="1"/>
  <printOptions/>
  <pageMargins left="0.3937007874015748" right="0.3937007874015748" top="0.7480314960629921" bottom="0.7480314960629921" header="0.31496062992125984" footer="0.31496062992125984"/>
  <pageSetup horizontalDpi="600" verticalDpi="600" orientation="landscape" paperSize="9" r:id="rId3"/>
  <headerFooter>
    <oddFooter>&amp;L&amp;A
Printed &amp;D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4" sqref="A14"/>
    </sheetView>
  </sheetViews>
  <sheetFormatPr defaultColWidth="9.140625" defaultRowHeight="12.75"/>
  <cols>
    <col min="1" max="1" width="39.00390625" style="346" customWidth="1"/>
    <col min="2" max="2" width="8.8515625" style="367" customWidth="1"/>
    <col min="3" max="3" width="15.140625" style="346" customWidth="1"/>
    <col min="4" max="4" width="26.28125" style="346" customWidth="1"/>
    <col min="5" max="5" width="12.57421875" style="346" customWidth="1"/>
    <col min="6" max="10" width="12.28125" style="346" customWidth="1"/>
    <col min="11" max="11" width="16.140625" style="346" customWidth="1"/>
    <col min="12" max="12" width="6.7109375" style="346" customWidth="1"/>
    <col min="13" max="13" width="9.140625" style="346" customWidth="1"/>
    <col min="14" max="14" width="9.140625" style="346" hidden="1" customWidth="1"/>
    <col min="15" max="16384" width="9.140625" style="346" customWidth="1"/>
  </cols>
  <sheetData>
    <row r="1" spans="1:2" s="378" customFormat="1" ht="12.75">
      <c r="A1" s="405" t="s">
        <v>431</v>
      </c>
      <c r="B1" s="406"/>
    </row>
    <row r="2" spans="1:12" s="378" customFormat="1" ht="30" customHeight="1">
      <c r="A2" s="694">
        <f>IF(ISNA(MATCH("n",N9:N23,0)),"","
The Estimated Hg input (or equivalent inserted IL2 results) marked in red colour is very high compared to previous observations. Data may be correct, but please confirm your activity rate data (or inserted IL2 data).")</f>
      </c>
      <c r="B2" s="694"/>
      <c r="C2" s="694"/>
      <c r="D2" s="694"/>
      <c r="E2" s="694"/>
      <c r="F2" s="694"/>
      <c r="G2" s="694"/>
      <c r="H2" s="694"/>
      <c r="I2" s="694"/>
      <c r="J2" s="694"/>
      <c r="K2" s="694"/>
      <c r="L2" s="694"/>
    </row>
    <row r="3" spans="1:13" ht="26.25" thickBot="1">
      <c r="A3" s="376" t="s">
        <v>762</v>
      </c>
      <c r="B3" s="270" t="str">
        <f>quest2</f>
        <v>Y/N</v>
      </c>
      <c r="C3" s="277" t="s">
        <v>528</v>
      </c>
      <c r="D3" s="276"/>
      <c r="E3" s="276"/>
      <c r="F3" s="276"/>
      <c r="G3" s="276"/>
      <c r="H3" s="276"/>
      <c r="I3" s="276"/>
      <c r="J3" s="276"/>
      <c r="K3" s="265"/>
      <c r="L3" s="265"/>
      <c r="M3" s="492"/>
    </row>
    <row r="4" spans="1:13" ht="51.75" thickBot="1">
      <c r="A4" s="376" t="s">
        <v>905</v>
      </c>
      <c r="B4" s="458"/>
      <c r="C4" s="362"/>
      <c r="D4" s="555"/>
      <c r="E4" s="276"/>
      <c r="F4" s="276"/>
      <c r="G4" s="555"/>
      <c r="H4" s="276"/>
      <c r="I4" s="276"/>
      <c r="J4" s="276"/>
      <c r="K4" s="265"/>
      <c r="L4" s="265"/>
      <c r="M4" s="492"/>
    </row>
    <row r="5" spans="1:13" ht="12.75">
      <c r="A5" s="523"/>
      <c r="B5" s="409"/>
      <c r="C5" s="410"/>
      <c r="D5" s="556"/>
      <c r="E5" s="411"/>
      <c r="F5" s="556"/>
      <c r="G5" s="411"/>
      <c r="H5" s="411"/>
      <c r="I5" s="411"/>
      <c r="J5" s="411"/>
      <c r="K5" s="411"/>
      <c r="L5" s="265"/>
      <c r="M5" s="492"/>
    </row>
    <row r="6" spans="1:13" s="378" customFormat="1" ht="12.75">
      <c r="A6" s="524" t="s">
        <v>442</v>
      </c>
      <c r="B6" s="412"/>
      <c r="C6" s="411"/>
      <c r="D6" s="411"/>
      <c r="E6" s="411"/>
      <c r="F6" s="411"/>
      <c r="G6" s="411"/>
      <c r="H6" s="411"/>
      <c r="I6" s="411"/>
      <c r="J6" s="411"/>
      <c r="K6" s="411"/>
      <c r="L6" s="411"/>
      <c r="M6" s="494"/>
    </row>
    <row r="7" spans="1:13" s="368" customFormat="1" ht="38.25">
      <c r="A7" s="266" t="s">
        <v>323</v>
      </c>
      <c r="B7" s="267" t="s">
        <v>381</v>
      </c>
      <c r="C7" s="272" t="s">
        <v>518</v>
      </c>
      <c r="D7" s="266"/>
      <c r="E7" s="267" t="s">
        <v>373</v>
      </c>
      <c r="F7" s="693" t="s">
        <v>379</v>
      </c>
      <c r="G7" s="693"/>
      <c r="H7" s="693"/>
      <c r="I7" s="693"/>
      <c r="J7" s="693"/>
      <c r="K7" s="693"/>
      <c r="L7" s="266"/>
      <c r="M7" s="495"/>
    </row>
    <row r="8" spans="1:13" ht="39" thickBot="1">
      <c r="A8" s="269" t="s">
        <v>464</v>
      </c>
      <c r="B8" s="270" t="str">
        <f>quest</f>
        <v>Y/N/?</v>
      </c>
      <c r="C8" s="271" t="s">
        <v>472</v>
      </c>
      <c r="D8" s="483" t="s">
        <v>35</v>
      </c>
      <c r="E8" s="267" t="s">
        <v>378</v>
      </c>
      <c r="F8" s="273" t="s">
        <v>38</v>
      </c>
      <c r="G8" s="273" t="s">
        <v>39</v>
      </c>
      <c r="H8" s="273" t="s">
        <v>40</v>
      </c>
      <c r="I8" s="460" t="s">
        <v>521</v>
      </c>
      <c r="J8" s="267" t="s">
        <v>42</v>
      </c>
      <c r="K8" s="267" t="s">
        <v>380</v>
      </c>
      <c r="L8" s="266" t="s">
        <v>372</v>
      </c>
      <c r="M8" s="329" t="s">
        <v>56</v>
      </c>
    </row>
    <row r="9" spans="1:14" ht="25.5">
      <c r="A9" s="274" t="s">
        <v>286</v>
      </c>
      <c r="B9" s="386"/>
      <c r="C9" s="387"/>
      <c r="D9" s="275" t="s">
        <v>1007</v>
      </c>
      <c r="E9" s="488" t="str">
        <f>IF(OR($B9=yes,$B9=yes),'5-7 Recycl metals'!K6,IF(OR($B9=no,$B9=no),"-",IF($B9=que,que,pres)))</f>
        <v>Present?</v>
      </c>
      <c r="F9" s="489" t="str">
        <f>IF(OR($B9=yes,$B9=yes),'5-7 Recycl metals'!V6,IF(OR($B9=no,$B9=no),"-",IF($B9=que,que,pres)))</f>
        <v>Present?</v>
      </c>
      <c r="G9" s="489" t="str">
        <f>IF(OR($B9=yes,$B9=yes),'5-7 Recycl metals'!W6,IF(OR($B9=no,$B9=no),"-",IF($B9=que,que,pres)))</f>
        <v>Present?</v>
      </c>
      <c r="H9" s="489" t="str">
        <f>IF(OR($B9=yes,$B9=yes),'5-7 Recycl metals'!X6,IF(OR($B9=no,$B9=no),"-",IF($B9=que,que,pres)))</f>
        <v>Present?</v>
      </c>
      <c r="I9" s="489" t="str">
        <f>IF(OR($B9=yes,$B9=yes),'5-7 Recycl metals'!Y6,IF(OR($B9=no,$B9=no),"-",IF($B9=que,que,pres)))</f>
        <v>Present?</v>
      </c>
      <c r="J9" s="489" t="str">
        <f>IF(OR($B9=yes,$B9=yes),'5-7 Recycl metals'!Z6,IF(OR($B9=no,$B9=no),"-",IF($B9=que,que,pres)))</f>
        <v>Present?</v>
      </c>
      <c r="K9" s="489" t="str">
        <f>IF(OR($B9=yes,$B9=yes),'5-7 Recycl metals'!AA6,IF(OR($B9=no,$B9=no),"-",IF($B9=que,que,pres)))</f>
        <v>Present?</v>
      </c>
      <c r="L9" s="277" t="s">
        <v>284</v>
      </c>
      <c r="M9" s="492"/>
      <c r="N9" s="346">
        <f>INDEX('Range-thresholds'!$G$6:$G$72,MATCH(A9,'Range-thresholds'!$A$6:$A$72,0))</f>
      </c>
    </row>
    <row r="10" spans="1:14" ht="26.25" thickBot="1">
      <c r="A10" s="274" t="s">
        <v>287</v>
      </c>
      <c r="B10" s="391"/>
      <c r="C10" s="416"/>
      <c r="D10" s="275" t="s">
        <v>1008</v>
      </c>
      <c r="E10" s="488" t="str">
        <f>IF(OR($B10=yes,$B10=yes),'5-7 Recycl metals'!K8,IF(OR($B10=no,$B10=no),"-",IF($B10=que,que,pres)))</f>
        <v>Present?</v>
      </c>
      <c r="F10" s="489" t="str">
        <f>IF(OR($B10=yes,$B10=yes),'5-7 Recycl metals'!V8,IF(OR($B10=no,$B10=no),"-",IF($B10=que,que,pres)))</f>
        <v>Present?</v>
      </c>
      <c r="G10" s="489" t="str">
        <f>IF(OR($B10=yes,$B10=yes),'5-7 Recycl metals'!W8,IF(OR($B10=no,$B10=no),"-",IF($B10=que,que,pres)))</f>
        <v>Present?</v>
      </c>
      <c r="H10" s="489" t="str">
        <f>IF(OR($B10=yes,$B10=yes),'5-7 Recycl metals'!X8,IF(OR($B10=no,$B10=no),"-",IF($B10=que,que,pres)))</f>
        <v>Present?</v>
      </c>
      <c r="I10" s="489" t="str">
        <f>IF(OR($B10=yes,$B10=yes),'5-7 Recycl metals'!Y8,IF(OR($B10=no,$B10=no),"-",IF($B10=que,que,pres)))</f>
        <v>Present?</v>
      </c>
      <c r="J10" s="489" t="str">
        <f>IF(OR($B10=yes,$B10=yes),'5-7 Recycl metals'!Z8,IF(OR($B10=no,$B10=no),"-",IF($B10=que,que,pres)))</f>
        <v>Present?</v>
      </c>
      <c r="K10" s="489" t="str">
        <f>IF(OR($B10=yes,$B10=yes),'5-7 Recycl metals'!AA8,IF(OR($B10=no,$B10=no),"-",IF($B10=que,que,pres)))</f>
        <v>Present?</v>
      </c>
      <c r="L10" s="277" t="s">
        <v>426</v>
      </c>
      <c r="M10" s="492"/>
      <c r="N10" s="346">
        <f>INDEX('Range-thresholds'!$G$6:$G$72,MATCH(A10,'Range-thresholds'!$A$6:$A$72,0))</f>
      </c>
    </row>
    <row r="11" spans="1:13" ht="12.75">
      <c r="A11" s="266"/>
      <c r="B11" s="414"/>
      <c r="C11" s="415"/>
      <c r="D11" s="277"/>
      <c r="E11" s="488"/>
      <c r="F11" s="489"/>
      <c r="G11" s="489"/>
      <c r="H11" s="489"/>
      <c r="I11" s="489"/>
      <c r="J11" s="489"/>
      <c r="K11" s="489"/>
      <c r="L11" s="277"/>
      <c r="M11" s="492"/>
    </row>
    <row r="12" spans="1:13" ht="13.5" thickBot="1">
      <c r="A12" s="269" t="s">
        <v>427</v>
      </c>
      <c r="B12" s="271"/>
      <c r="C12" s="354"/>
      <c r="D12" s="277"/>
      <c r="E12" s="488"/>
      <c r="F12" s="489"/>
      <c r="G12" s="489"/>
      <c r="H12" s="489"/>
      <c r="I12" s="489"/>
      <c r="J12" s="489"/>
      <c r="K12" s="489"/>
      <c r="L12" s="277"/>
      <c r="M12" s="492"/>
    </row>
    <row r="13" spans="1:14" ht="12.75">
      <c r="A13" s="274" t="s">
        <v>205</v>
      </c>
      <c r="B13" s="386"/>
      <c r="C13" s="387"/>
      <c r="D13" s="275" t="s">
        <v>1009</v>
      </c>
      <c r="E13" s="488" t="str">
        <f>IF(OR($B13=yes,$B13=yes),'5-8 Waste incin'!K7,IF(OR($B13=no,$B13=no),"-",IF($B13=que,que,pres)))</f>
        <v>Present?</v>
      </c>
      <c r="F13" s="489" t="str">
        <f>IF(OR($B13=yes,$B13=yes),'5-8 Waste incin'!V6,IF(OR($B13=no,$B13=no),"-",IF($B13=que,que,pres)))</f>
        <v>Present?</v>
      </c>
      <c r="G13" s="489" t="str">
        <f>IF(OR($B13=yes,$B13=yes),'5-8 Waste incin'!W6,IF(OR($B13=no,$B13=no),"-",IF($B13=que,que,pres)))</f>
        <v>Present?</v>
      </c>
      <c r="H13" s="489" t="str">
        <f>IF(OR($B13=yes,$B13=yes),'5-8 Waste incin'!X6,IF(OR($B13=no,$B13=no),"-",IF($B13=que,que,pres)))</f>
        <v>Present?</v>
      </c>
      <c r="I13" s="489" t="str">
        <f>IF(OR($B13=yes,$B13=yes),'5-8 Waste incin'!Y6,IF(OR($B13=no,$B13=no),"-",IF($B13=que,que,pres)))</f>
        <v>Present?</v>
      </c>
      <c r="J13" s="489" t="str">
        <f>IF(OR($B13=yes,$B13=yes),'5-8 Waste incin'!Z6,IF(OR($B13=no,$B13=no),"-",IF($B13=que,que,pres)))</f>
        <v>Present?</v>
      </c>
      <c r="K13" s="489" t="str">
        <f>IF(OR($B13=yes,$B13=yes),'5-8 Waste incin'!AA6,IF(OR($B13=no,$B13=no),"-",IF($B13=que,que,pres)))</f>
        <v>Present?</v>
      </c>
      <c r="L13" s="277" t="s">
        <v>204</v>
      </c>
      <c r="M13" s="493"/>
      <c r="N13" s="346">
        <f>INDEX('Range-thresholds'!$G$6:$G$72,MATCH(A13,'Range-thresholds'!$A$6:$A$72,0))</f>
      </c>
    </row>
    <row r="14" spans="1:14" ht="12.75">
      <c r="A14" s="274" t="s">
        <v>212</v>
      </c>
      <c r="B14" s="388"/>
      <c r="C14" s="389"/>
      <c r="D14" s="275" t="s">
        <v>1010</v>
      </c>
      <c r="E14" s="488" t="str">
        <f>IF(OR($B14=yes,$B14=yes),'5-8 Waste incin'!K13,IF(OR($B14=no,$B14=no),"-",IF($B14=que,que,pres)))</f>
        <v>Present?</v>
      </c>
      <c r="F14" s="489" t="str">
        <f>IF(OR($B14=yes,$B14=yes),'5-8 Waste incin'!V12,IF(OR($B14=no,$B14=no),"-",IF($B14=que,que,pres)))</f>
        <v>Present?</v>
      </c>
      <c r="G14" s="489" t="str">
        <f>IF(OR($B14=yes,$B14=yes),'5-8 Waste incin'!W12,IF(OR($B14=no,$B14=no),"-",IF($B14=que,que,pres)))</f>
        <v>Present?</v>
      </c>
      <c r="H14" s="489" t="str">
        <f>IF(OR($B14=yes,$B14=yes),'5-8 Waste incin'!X12,IF(OR($B14=no,$B14=no),"-",IF($B14=que,que,pres)))</f>
        <v>Present?</v>
      </c>
      <c r="I14" s="489" t="str">
        <f>IF(OR($B14=yes,$B14=yes),'5-8 Waste incin'!Y12,IF(OR($B14=no,$B14=no),"-",IF($B14=que,que,pres)))</f>
        <v>Present?</v>
      </c>
      <c r="J14" s="489" t="str">
        <f>IF(OR($B14=yes,$B14=yes),'5-8 Waste incin'!Z12,IF(OR($B14=no,$B14=no),"-",IF($B14=que,que,pres)))</f>
        <v>Present?</v>
      </c>
      <c r="K14" s="489" t="str">
        <f>IF(OR($B14=yes,$B14=yes),'5-8 Waste incin'!AA12,IF(OR($B14=no,$B14=no),"-",IF($B14=que,que,pres)))</f>
        <v>Present?</v>
      </c>
      <c r="L14" s="277" t="s">
        <v>209</v>
      </c>
      <c r="M14" s="492"/>
      <c r="N14" s="346">
        <f>INDEX('Range-thresholds'!$G$6:$G$72,MATCH(A14,'Range-thresholds'!$A$6:$A$72,0))</f>
      </c>
    </row>
    <row r="15" spans="1:14" ht="25.5">
      <c r="A15" s="279" t="s">
        <v>880</v>
      </c>
      <c r="B15" s="388"/>
      <c r="C15" s="389"/>
      <c r="D15" s="275" t="s">
        <v>1009</v>
      </c>
      <c r="E15" s="488" t="str">
        <f>IF(OR($B15=yes,$B15=yes),'5-8 Waste incin'!K19,IF(OR($B15=no,$B15=no),"-",IF($B15=que,que,pres)))</f>
        <v>Present?</v>
      </c>
      <c r="F15" s="489" t="str">
        <f>IF(OR($B15=yes,$B15=yes),'5-8 Waste incin'!V18,IF(OR($B15=no,$B15=no),"-",IF($B15=que,que,pres)))</f>
        <v>Present?</v>
      </c>
      <c r="G15" s="489" t="str">
        <f>IF(OR($B15=yes,$B15=yes),'5-8 Waste incin'!W18,IF(OR($B15=no,$B15=no),"-",IF($B15=que,que,pres)))</f>
        <v>Present?</v>
      </c>
      <c r="H15" s="489" t="str">
        <f>IF(OR($B15=yes,$B15=yes),'5-8 Waste incin'!X18,IF(OR($B15=no,$B15=no),"-",IF($B15=que,que,pres)))</f>
        <v>Present?</v>
      </c>
      <c r="I15" s="489" t="str">
        <f>IF(OR($B15=yes,$B15=yes),'5-8 Waste incin'!Y18,IF(OR($B15=no,$B15=no),"-",IF($B15=que,que,pres)))</f>
        <v>Present?</v>
      </c>
      <c r="J15" s="489" t="str">
        <f>IF(OR($B15=yes,$B15=yes),'5-8 Waste incin'!Z18,IF(OR($B15=no,$B15=no),"-",IF($B15=que,que,pres)))</f>
        <v>Present?</v>
      </c>
      <c r="K15" s="489" t="str">
        <f>IF(OR($B15=yes,$B15=yes),'5-8 Waste incin'!AA18,IF(OR($B15=no,$B15=no),"-",IF($B15=que,que,pres)))</f>
        <v>Present?</v>
      </c>
      <c r="L15" s="277" t="s">
        <v>214</v>
      </c>
      <c r="M15" s="492"/>
      <c r="N15" s="346">
        <f>INDEX('Range-thresholds'!$G$6:$G$72,MATCH(A15,'Range-thresholds'!$A$6:$A$72,0))</f>
      </c>
    </row>
    <row r="16" spans="1:14" ht="12.75">
      <c r="A16" s="274" t="s">
        <v>217</v>
      </c>
      <c r="B16" s="388"/>
      <c r="C16" s="389"/>
      <c r="D16" s="275" t="s">
        <v>1009</v>
      </c>
      <c r="E16" s="488" t="str">
        <f>IF(OR($B16=yes,$B16=yes),'5-8 Waste incin'!K24,IF(OR($B16=no,$B16=no),"-",IF($B16=que,que,pres)))</f>
        <v>Present?</v>
      </c>
      <c r="F16" s="489" t="str">
        <f>IF(OR($B16=yes,$B16=yes),'5-8 Waste incin'!V24,IF(OR($B16=no,$B16=no),"-",IF($B16=que,que,pres)))</f>
        <v>Present?</v>
      </c>
      <c r="G16" s="489" t="str">
        <f>IF(OR($B16=yes,$B16=yes),'5-8 Waste incin'!W24,IF(OR($B16=no,$B16=no),"-",IF($B16=que,que,pres)))</f>
        <v>Present?</v>
      </c>
      <c r="H16" s="489" t="str">
        <f>IF(OR($B16=yes,$B16=yes),'5-8 Waste incin'!X24,IF(OR($B16=no,$B16=no),"-",IF($B16=que,que,pres)))</f>
        <v>Present?</v>
      </c>
      <c r="I16" s="489" t="str">
        <f>IF(OR($B16=yes,$B16=yes),'5-8 Waste incin'!Y24,IF(OR($B16=no,$B16=no),"-",IF($B16=que,que,pres)))</f>
        <v>Present?</v>
      </c>
      <c r="J16" s="489" t="str">
        <f>IF(OR($B16=yes,$B16=yes),'5-8 Waste incin'!Z24,IF(OR($B16=no,$B16=no),"-",IF($B16=que,que,pres)))</f>
        <v>Present?</v>
      </c>
      <c r="K16" s="489" t="str">
        <f>IF(OR($B16=yes,$B16=yes),'5-8 Waste incin'!AA24,IF(OR($B16=no,$B16=no),"-",IF($B16=que,que,pres)))</f>
        <v>Present?</v>
      </c>
      <c r="L16" s="277" t="s">
        <v>216</v>
      </c>
      <c r="M16" s="492"/>
      <c r="N16" s="346">
        <f>INDEX('Range-thresholds'!$G$6:$G$72,MATCH(A16,'Range-thresholds'!$A$6:$A$72,0))</f>
      </c>
    </row>
    <row r="17" spans="1:14" ht="26.25" thickBot="1">
      <c r="A17" s="279" t="s">
        <v>430</v>
      </c>
      <c r="B17" s="391"/>
      <c r="C17" s="416"/>
      <c r="D17" s="355" t="s">
        <v>1014</v>
      </c>
      <c r="E17" s="488" t="str">
        <f>IF(OR($B17=yes,$B17=yes),'5-8 Waste incin'!K26,IF(OR($B17=no,$B17=no),"-",IF($B17=que,que,pres)))</f>
        <v>Present?</v>
      </c>
      <c r="F17" s="489" t="str">
        <f>IF(OR($B17=yes,$B17=yes),'5-8 Waste incin'!V26,IF(OR($B17=no,$B17=no),"-",IF($B17=que,que,pres)))</f>
        <v>Present?</v>
      </c>
      <c r="G17" s="489" t="str">
        <f>IF(OR($B17=yes,$B17=yes),'5-8 Waste incin'!W26,IF(OR($B17=no,$B17=no),"-",IF($B17=que,que,pres)))</f>
        <v>Present?</v>
      </c>
      <c r="H17" s="489" t="str">
        <f>IF(OR($B17=yes,$B17=yes),'5-8 Waste incin'!X26,IF(OR($B17=no,$B17=no),"-",IF($B17=que,que,pres)))</f>
        <v>Present?</v>
      </c>
      <c r="I17" s="489" t="str">
        <f>IF(OR($B17=yes,$B17=yes),'5-8 Waste incin'!Y26,IF(OR($B17=no,$B17=no),"-",IF($B17=que,que,pres)))</f>
        <v>Present?</v>
      </c>
      <c r="J17" s="489" t="str">
        <f>IF(OR($B17=yes,$B17=yes),'5-8 Waste incin'!Z26,IF(OR($B17=no,$B17=no),"-",IF($B17=que,que,pres)))</f>
        <v>Present?</v>
      </c>
      <c r="K17" s="489" t="str">
        <f>IF(OR($B17=yes,$B17=yes),'5-8 Waste incin'!AA26,IF(OR($B17=no,$B17=no),"-",IF($B17=que,que,pres)))</f>
        <v>Present?</v>
      </c>
      <c r="L17" s="277" t="s">
        <v>218</v>
      </c>
      <c r="M17" s="492"/>
      <c r="N17" s="346">
        <f>INDEX('Range-thresholds'!$G$6:$G$72,MATCH(A17,'Range-thresholds'!$A$6:$A$72,0))</f>
      </c>
    </row>
    <row r="18" spans="1:13" ht="12.75">
      <c r="A18" s="266"/>
      <c r="B18" s="356"/>
      <c r="C18" s="357"/>
      <c r="D18" s="277"/>
      <c r="E18" s="488"/>
      <c r="F18" s="489"/>
      <c r="G18" s="489"/>
      <c r="H18" s="489"/>
      <c r="I18" s="489"/>
      <c r="J18" s="489"/>
      <c r="K18" s="489"/>
      <c r="L18" s="277"/>
      <c r="M18" s="492"/>
    </row>
    <row r="19" spans="1:13" ht="26.25" thickBot="1">
      <c r="A19" s="269" t="s">
        <v>465</v>
      </c>
      <c r="B19" s="353"/>
      <c r="C19" s="354"/>
      <c r="D19" s="277"/>
      <c r="E19" s="488"/>
      <c r="F19" s="489"/>
      <c r="G19" s="489"/>
      <c r="H19" s="489"/>
      <c r="I19" s="489"/>
      <c r="J19" s="489"/>
      <c r="K19" s="489"/>
      <c r="L19" s="277"/>
      <c r="M19" s="492"/>
    </row>
    <row r="20" spans="1:14" ht="12.75">
      <c r="A20" s="279" t="s">
        <v>429</v>
      </c>
      <c r="B20" s="386"/>
      <c r="C20" s="387"/>
      <c r="D20" s="355" t="s">
        <v>1011</v>
      </c>
      <c r="E20" s="488" t="str">
        <f>IF(OR($B20=yes,$B20=yes),'5-9 Waste depo and water treatm'!K6,IF(OR($B20=no,$B20=no),"-",IF($B20=que,que,pres)))</f>
        <v>Present?</v>
      </c>
      <c r="F20" s="489" t="str">
        <f>IF(OR($B20=yes,$B20=yes),'5-9 Waste depo and water treatm'!V6,IF(OR($B20=no,$B20=no),"-",IF($B20=que,que,pres)))</f>
        <v>Present?</v>
      </c>
      <c r="G20" s="489" t="str">
        <f>IF(OR($B20=yes,$B20=yes),'5-9 Waste depo and water treatm'!W6,IF(OR($B20=no,$B20=no),"-",IF($B20=que,que,pres)))</f>
        <v>Present?</v>
      </c>
      <c r="H20" s="489" t="str">
        <f>IF(OR($B20=yes,$B20=yes),'5-9 Waste depo and water treatm'!X6,IF(OR($B20=no,$B20=no),"-",IF($B20=que,que,pres)))</f>
        <v>Present?</v>
      </c>
      <c r="I20" s="489" t="str">
        <f>IF(OR($B20=yes,$B20=yes),'5-9 Waste depo and water treatm'!Y6,IF(OR($B20=no,$B20=no),"-",IF($B20=que,que,pres)))</f>
        <v>Present?</v>
      </c>
      <c r="J20" s="489" t="str">
        <f>IF(OR($B20=yes,$B20=yes),'5-9 Waste depo and water treatm'!Z6,IF(OR($B20=no,$B20=no),"-",IF($B20=que,que,pres)))</f>
        <v>Present?</v>
      </c>
      <c r="K20" s="489" t="str">
        <f>IF(OR($B20=yes,$B20=yes),'5-9 Waste depo and water treatm'!AA6,IF(OR($B20=no,$B20=no),"-",IF($B20=que,que,pres)))</f>
        <v>Present?</v>
      </c>
      <c r="L20" s="277" t="s">
        <v>300</v>
      </c>
      <c r="M20" s="492"/>
      <c r="N20" s="346">
        <f>INDEX('Range-thresholds'!$G$6:$G$72,MATCH(A20,'Range-thresholds'!$A$6:$A$72,0))</f>
      </c>
    </row>
    <row r="21" spans="1:14" ht="13.5" thickBot="1">
      <c r="A21" s="279" t="s">
        <v>508</v>
      </c>
      <c r="B21" s="391"/>
      <c r="C21" s="416"/>
      <c r="D21" s="355" t="s">
        <v>1012</v>
      </c>
      <c r="E21" s="488" t="str">
        <f>IF(OR($B21=yes,$B21=yes),'5-9 Waste depo and water treatm'!K13,IF(OR($B21=no,$B21=no),"-",IF($B21=que,que,pres)))</f>
        <v>Present?</v>
      </c>
      <c r="F21" s="489" t="str">
        <f>IF(OR($B21=yes,$B21=yes),'5-9 Waste depo and water treatm'!V13,IF(OR($B21=no,$B21=no),"-",IF($B21=que,que,pres)))</f>
        <v>Present?</v>
      </c>
      <c r="G21" s="489" t="str">
        <f>IF(OR($B21=yes,$B21=yes),'5-9 Waste depo and water treatm'!W13,IF(OR($B21=no,$B21=no),"-",IF($B21=que,que,pres)))</f>
        <v>Present?</v>
      </c>
      <c r="H21" s="489" t="str">
        <f>IF(OR($B21=yes,$B21=yes),'5-9 Waste depo and water treatm'!X13,IF(OR($B21=no,$B21=no),"-",IF($B21=que,que,pres)))</f>
        <v>Present?</v>
      </c>
      <c r="I21" s="489" t="str">
        <f>IF(OR($B21=yes,$B21=yes),'5-9 Waste depo and water treatm'!Y13,IF(OR($B21=no,$B21=no),"-",IF($B21=que,que,pres)))</f>
        <v>Present?</v>
      </c>
      <c r="J21" s="489" t="str">
        <f>IF(OR($B21=yes,$B21=yes),'5-9 Waste depo and water treatm'!Z13,IF(OR($B21=no,$B21=no),"-",IF($B21=que,que,pres)))</f>
        <v>Present?</v>
      </c>
      <c r="K21" s="489" t="str">
        <f>IF(OR($B21=yes,$B21=yes),'5-9 Waste depo and water treatm'!AA13,IF(OR($B21=no,$B21=no),"-",IF($B21=que,que,pres)))</f>
        <v>Present?</v>
      </c>
      <c r="L21" s="277" t="s">
        <v>303</v>
      </c>
      <c r="M21" s="492"/>
      <c r="N21" s="346">
        <f>INDEX('Range-thresholds'!$G$6:$G$72,MATCH(A21,'Range-thresholds'!$A$6:$A$72,0))</f>
      </c>
    </row>
    <row r="22" spans="1:13" ht="13.5" thickBot="1">
      <c r="A22" s="376"/>
      <c r="B22" s="417"/>
      <c r="C22" s="418"/>
      <c r="D22" s="277"/>
      <c r="E22" s="488"/>
      <c r="F22" s="489"/>
      <c r="G22" s="489"/>
      <c r="H22" s="489"/>
      <c r="I22" s="489"/>
      <c r="J22" s="489"/>
      <c r="K22" s="489"/>
      <c r="L22" s="277"/>
      <c r="M22" s="492"/>
    </row>
    <row r="23" spans="1:14" ht="15" thickBot="1">
      <c r="A23" s="279" t="s">
        <v>296</v>
      </c>
      <c r="B23" s="420"/>
      <c r="C23" s="419"/>
      <c r="D23" s="355" t="s">
        <v>1013</v>
      </c>
      <c r="E23" s="488" t="str">
        <f>IF(OR($B23=yes,$B23=yes),'5-9 Waste depo and water treatm'!K16,IF(OR($B23=no,$B23=no),"-",IF($B23=que,que,pres)))</f>
        <v>Present?</v>
      </c>
      <c r="F23" s="489" t="str">
        <f>IF(OR($B23=yes,$B23=yes),'5-9 Waste depo and water treatm'!V15,IF(OR($B23=no,$B23=no),"-",IF($B23=que,que,pres)))</f>
        <v>Present?</v>
      </c>
      <c r="G23" s="489" t="str">
        <f>IF(OR($B23=yes,$B23=yes),'5-9 Waste depo and water treatm'!W15,IF(OR($B23=no,$B23=no),"-",IF($B23=que,que,pres)))</f>
        <v>Present?</v>
      </c>
      <c r="H23" s="489" t="str">
        <f>IF(OR($B23=yes,$B23=yes),'5-9 Waste depo and water treatm'!X15,IF(OR($B23=no,$B23=no),"-",IF($B23=que,que,pres)))</f>
        <v>Present?</v>
      </c>
      <c r="I23" s="489" t="str">
        <f>IF(OR($B23=yes,$B23=yes),'5-9 Waste depo and water treatm'!Y15,IF(OR($B23=no,$B23=no),"-",IF($B23=que,que,pres)))</f>
        <v>Present?</v>
      </c>
      <c r="J23" s="489" t="str">
        <f>IF(OR($B23=yes,$B23=yes),'5-9 Waste depo and water treatm'!Z15,IF(OR($B23=no,$B23=no),"-",IF($B23=que,que,pres)))</f>
        <v>Present?</v>
      </c>
      <c r="K23" s="489" t="str">
        <f>IF(OR($B23=yes,$B23=yes),'5-9 Waste depo and water treatm'!AA15,IF(OR($B23=no,$B23=no),"-",IF($B23=que,que,pres)))</f>
        <v>Present?</v>
      </c>
      <c r="L23" s="277" t="s">
        <v>304</v>
      </c>
      <c r="M23" s="492"/>
      <c r="N23" s="346">
        <f>INDEX('Range-thresholds'!$G$6:$G$72,MATCH(A23,'Range-thresholds'!$A$6:$A$72,0))</f>
      </c>
    </row>
    <row r="26" ht="12.75">
      <c r="A26" s="683" t="s">
        <v>983</v>
      </c>
    </row>
    <row r="27" ht="12.75">
      <c r="A27" s="683" t="s">
        <v>984</v>
      </c>
    </row>
  </sheetData>
  <sheetProtection password="BC6F" sheet="1"/>
  <mergeCells count="2">
    <mergeCell ref="F7:K7"/>
    <mergeCell ref="A2:L2"/>
  </mergeCells>
  <conditionalFormatting sqref="A2">
    <cfRule type="expression" priority="1" dxfId="0" stopIfTrue="1">
      <formula>$A$2&lt;&gt;""</formula>
    </cfRule>
  </conditionalFormatting>
  <conditionalFormatting sqref="E9:E10 E13:E17 E20:E21 E23">
    <cfRule type="expression" priority="3" dxfId="0" stopIfTrue="1">
      <formula>AND(B9="y",N9="n")</formula>
    </cfRule>
  </conditionalFormatting>
  <dataValidations count="3">
    <dataValidation type="decimal" allowBlank="1" showInputMessage="1" showErrorMessage="1" promptTitle="Input cell" prompt="Use digits and decimal mark only." errorTitle="Input error" error="Use digits and decimal mark only." sqref="C9:C10 C13:C17 C20:C21 C23">
      <formula1>-99999999999999900000000</formula1>
      <formula2>9.99999999999999E+22</formula2>
    </dataValidation>
    <dataValidation type="list" allowBlank="1" showDropDown="1" showInputMessage="1" showErrorMessage="1" errorTitle="Input error" error="Enter only y, n or ? (or translation of these)" sqref="B22">
      <formula1>yn?</formula1>
    </dataValidation>
    <dataValidation type="list" allowBlank="1" showInputMessage="1" showErrorMessage="1" errorTitle="Input error" error="Enter only y, n or ? (or translation of these)" sqref="B4 B9:B10 B13:B17 B20:B21 B23">
      <formula1>yn?</formula1>
    </dataValidation>
  </dataValidations>
  <printOptions/>
  <pageMargins left="0.3937007874015748" right="0.3937007874015748" top="0.7480314960629921" bottom="0.7480314960629921" header="0.31496062992125984" footer="0.31496062992125984"/>
  <pageSetup fitToHeight="1" fitToWidth="1" horizontalDpi="600" verticalDpi="600" orientation="landscape" paperSize="9" scale="76" r:id="rId1"/>
  <headerFooter>
    <oddFooter>&amp;L&amp;A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dc:creator>
  <cp:keywords/>
  <dc:description/>
  <cp:lastModifiedBy>Jakob Maag</cp:lastModifiedBy>
  <cp:lastPrinted>2012-09-10T09:31:09Z</cp:lastPrinted>
  <dcterms:created xsi:type="dcterms:W3CDTF">2005-10-18T14:46:44Z</dcterms:created>
  <dcterms:modified xsi:type="dcterms:W3CDTF">2013-04-22T09:25:30Z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142642220</vt:i4>
  </property>
  <property fmtid="{D5CDD505-2E9C-101B-9397-08002B2CF9AE}" pid="3" name="_NewReviewCycle">
    <vt:lpwstr/>
  </property>
  <property fmtid="{D5CDD505-2E9C-101B-9397-08002B2CF9AE}" pid="4" name="_EmailSubject">
    <vt:lpwstr>Hg-toolkit-IL1-JAM_SLAR_ver1-JAM-KS.xls - et par hurtige kommentarer/spørgsmål</vt:lpwstr>
  </property>
  <property fmtid="{D5CDD505-2E9C-101B-9397-08002B2CF9AE}" pid="5" name="_AuthorEmail">
    <vt:lpwstr>SLAR@cowi.dk</vt:lpwstr>
  </property>
  <property fmtid="{D5CDD505-2E9C-101B-9397-08002B2CF9AE}" pid="6" name="_AuthorEmailDisplayName">
    <vt:lpwstr>Søren Larsen</vt:lpwstr>
  </property>
  <property fmtid="{D5CDD505-2E9C-101B-9397-08002B2CF9AE}" pid="7" name="_PreviousAdHocReviewCycleID">
    <vt:i4>-217575388</vt:i4>
  </property>
</Properties>
</file>